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gill1/Documents/Carbon13/2024/Investment Readiness/Investment Readiness 2024_04_25/Editable 2024_04_25/"/>
    </mc:Choice>
  </mc:AlternateContent>
  <xr:revisionPtr revIDLastSave="0" documentId="13_ncr:1_{AC6B091F-5F08-D54A-8D68-0BC697DDE1B0}" xr6:coauthVersionLast="47" xr6:coauthVersionMax="47" xr10:uidLastSave="{00000000-0000-0000-0000-000000000000}"/>
  <bookViews>
    <workbookView xWindow="2280" yWindow="760" windowWidth="25200" windowHeight="18880" firstSheet="2" activeTab="8" xr2:uid="{3B0BA0AA-9C61-41A0-B29C-715BC0714C6F}"/>
  </bookViews>
  <sheets>
    <sheet name="Equity Comparables Method" sheetId="5" r:id="rId1"/>
    <sheet name="Venture Capital Method 1 round" sheetId="1" r:id="rId2"/>
    <sheet name="Venture Capital Method 2 rounds" sheetId="2" r:id="rId3"/>
    <sheet name="Cap table (lower R1 value)" sheetId="4" r:id="rId4"/>
    <sheet name="Cap table (higher R1 value)" sheetId="7" r:id="rId5"/>
    <sheet name="Quick VCM Sensitivity" sheetId="8" r:id="rId6"/>
    <sheet name="Berkus" sheetId="9" r:id="rId7"/>
    <sheet name="Scorecard" sheetId="11" r:id="rId8"/>
    <sheet name="ConvPartPref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2" l="1"/>
  <c r="H64" i="12"/>
  <c r="G64" i="12"/>
  <c r="F64" i="12"/>
  <c r="E64" i="12"/>
  <c r="D64" i="12"/>
  <c r="C64" i="12"/>
  <c r="I44" i="12"/>
  <c r="H44" i="12"/>
  <c r="G44" i="12"/>
  <c r="F44" i="12"/>
  <c r="E44" i="12"/>
  <c r="D44" i="12"/>
  <c r="C44" i="12"/>
  <c r="C15" i="12"/>
  <c r="I9" i="12"/>
  <c r="I10" i="12" s="1"/>
  <c r="C14" i="12" s="1"/>
  <c r="C16" i="12" s="1"/>
  <c r="I8" i="12"/>
  <c r="D14" i="12" s="1"/>
  <c r="C12" i="11"/>
  <c r="D25" i="11" s="1"/>
  <c r="D23" i="11"/>
  <c r="D22" i="11"/>
  <c r="D21" i="11"/>
  <c r="D20" i="11"/>
  <c r="D19" i="11"/>
  <c r="D18" i="11"/>
  <c r="D17" i="11"/>
  <c r="C9" i="9"/>
  <c r="G47" i="12" l="1"/>
  <c r="I45" i="12"/>
  <c r="G28" i="12"/>
  <c r="F65" i="12"/>
  <c r="F66" i="12" s="1"/>
  <c r="D65" i="12"/>
  <c r="D66" i="12" s="1"/>
  <c r="D28" i="12"/>
  <c r="E45" i="12"/>
  <c r="E47" i="12" s="1"/>
  <c r="C45" i="12"/>
  <c r="C47" i="12" s="1"/>
  <c r="I28" i="12"/>
  <c r="H45" i="12"/>
  <c r="H46" i="12" s="1"/>
  <c r="F28" i="12"/>
  <c r="G45" i="12"/>
  <c r="G46" i="12" s="1"/>
  <c r="E28" i="12"/>
  <c r="F45" i="12"/>
  <c r="F46" i="12" s="1"/>
  <c r="C28" i="12"/>
  <c r="D15" i="12"/>
  <c r="H28" i="12"/>
  <c r="G65" i="12"/>
  <c r="G66" i="12" s="1"/>
  <c r="E65" i="12"/>
  <c r="E66" i="12" s="1"/>
  <c r="C65" i="12"/>
  <c r="C66" i="12" s="1"/>
  <c r="D45" i="12"/>
  <c r="D46" i="12" s="1"/>
  <c r="E46" i="12"/>
  <c r="F47" i="12"/>
  <c r="I65" i="12"/>
  <c r="I66" i="12" s="1"/>
  <c r="C46" i="12"/>
  <c r="H65" i="12"/>
  <c r="H66" i="12" s="1"/>
  <c r="D24" i="11"/>
  <c r="I12" i="7"/>
  <c r="C67" i="12" l="1"/>
  <c r="C68" i="12" s="1"/>
  <c r="C48" i="12"/>
  <c r="C49" i="12"/>
  <c r="E48" i="12"/>
  <c r="E49" i="12" s="1"/>
  <c r="F30" i="12"/>
  <c r="D30" i="12"/>
  <c r="D47" i="12"/>
  <c r="C29" i="12"/>
  <c r="H29" i="12"/>
  <c r="F29" i="12"/>
  <c r="E29" i="12"/>
  <c r="D29" i="12"/>
  <c r="G29" i="12"/>
  <c r="I29" i="12"/>
  <c r="I30" i="12" s="1"/>
  <c r="H47" i="12"/>
  <c r="C30" i="12"/>
  <c r="D67" i="12"/>
  <c r="D68" i="12" s="1"/>
  <c r="F48" i="12"/>
  <c r="F49" i="12"/>
  <c r="F67" i="12"/>
  <c r="F68" i="12" s="1"/>
  <c r="E67" i="12"/>
  <c r="E68" i="12" s="1"/>
  <c r="E30" i="12"/>
  <c r="G30" i="12"/>
  <c r="I67" i="12"/>
  <c r="I68" i="12" s="1"/>
  <c r="G67" i="12"/>
  <c r="G68" i="12" s="1"/>
  <c r="H30" i="12"/>
  <c r="H67" i="12"/>
  <c r="H68" i="12" s="1"/>
  <c r="I46" i="12"/>
  <c r="I47" i="12"/>
  <c r="G48" i="12"/>
  <c r="G49" i="12"/>
  <c r="I18" i="8"/>
  <c r="H18" i="8"/>
  <c r="G18" i="8"/>
  <c r="F18" i="8"/>
  <c r="E18" i="8"/>
  <c r="D18" i="8"/>
  <c r="D12" i="8"/>
  <c r="D13" i="8" s="1"/>
  <c r="D17" i="8" s="1"/>
  <c r="I10" i="8"/>
  <c r="I19" i="8" s="1"/>
  <c r="H10" i="8"/>
  <c r="H19" i="8" s="1"/>
  <c r="G10" i="8"/>
  <c r="G11" i="8" s="1"/>
  <c r="F10" i="8"/>
  <c r="F11" i="8" s="1"/>
  <c r="E10" i="8"/>
  <c r="E12" i="8" s="1"/>
  <c r="D10" i="8"/>
  <c r="D19" i="8" s="1"/>
  <c r="C19" i="2"/>
  <c r="J8" i="7"/>
  <c r="I8" i="7"/>
  <c r="E8" i="7"/>
  <c r="C8" i="7"/>
  <c r="E11" i="7" s="1"/>
  <c r="B8" i="7"/>
  <c r="K7" i="7"/>
  <c r="J7" i="7"/>
  <c r="F6" i="7"/>
  <c r="G6" i="7" s="1"/>
  <c r="J5" i="7"/>
  <c r="F5" i="7"/>
  <c r="G4" i="7"/>
  <c r="K4" i="7" s="1"/>
  <c r="D4" i="7"/>
  <c r="K3" i="7"/>
  <c r="G3" i="7"/>
  <c r="D3" i="7"/>
  <c r="D8" i="7" s="1"/>
  <c r="B8" i="4"/>
  <c r="B21" i="5"/>
  <c r="B20" i="5"/>
  <c r="B16" i="5"/>
  <c r="D48" i="12" l="1"/>
  <c r="D49" i="12" s="1"/>
  <c r="I48" i="12"/>
  <c r="I49" i="12" s="1"/>
  <c r="H48" i="12"/>
  <c r="H49" i="12" s="1"/>
  <c r="E13" i="8"/>
  <c r="E17" i="8" s="1"/>
  <c r="E16" i="8"/>
  <c r="E14" i="8"/>
  <c r="E15" i="8" s="1"/>
  <c r="H11" i="8"/>
  <c r="I11" i="8"/>
  <c r="G12" i="8"/>
  <c r="E19" i="8"/>
  <c r="D11" i="8"/>
  <c r="H12" i="8"/>
  <c r="D16" i="8"/>
  <c r="F19" i="8"/>
  <c r="E11" i="8"/>
  <c r="I12" i="8"/>
  <c r="G19" i="8"/>
  <c r="F12" i="8"/>
  <c r="D14" i="8"/>
  <c r="D15" i="8" s="1"/>
  <c r="F8" i="7"/>
  <c r="G8" i="7" s="1"/>
  <c r="E12" i="7" s="1"/>
  <c r="H3" i="7"/>
  <c r="I11" i="7"/>
  <c r="H6" i="7"/>
  <c r="K6" i="7"/>
  <c r="G5" i="7"/>
  <c r="H4" i="7"/>
  <c r="H14" i="8" l="1"/>
  <c r="H15" i="8" s="1"/>
  <c r="H13" i="8"/>
  <c r="H17" i="8" s="1"/>
  <c r="H16" i="8"/>
  <c r="G16" i="8"/>
  <c r="G13" i="8"/>
  <c r="G17" i="8" s="1"/>
  <c r="G14" i="8"/>
  <c r="G15" i="8" s="1"/>
  <c r="F16" i="8"/>
  <c r="F14" i="8"/>
  <c r="F15" i="8" s="1"/>
  <c r="F13" i="8"/>
  <c r="F17" i="8" s="1"/>
  <c r="I14" i="8"/>
  <c r="I15" i="8" s="1"/>
  <c r="I13" i="8"/>
  <c r="I17" i="8" s="1"/>
  <c r="I16" i="8"/>
  <c r="K5" i="7"/>
  <c r="H5" i="7"/>
  <c r="H8" i="7" s="1"/>
  <c r="K8" i="7" l="1"/>
  <c r="L3" i="7" l="1"/>
  <c r="L7" i="7"/>
  <c r="L4" i="7"/>
  <c r="L6" i="7"/>
  <c r="L5" i="7"/>
  <c r="L8" i="7" l="1"/>
  <c r="B6" i="1" l="1"/>
  <c r="J7" i="4" l="1"/>
  <c r="K7" i="4" s="1"/>
  <c r="I8" i="4"/>
  <c r="F6" i="4"/>
  <c r="G6" i="4" s="1"/>
  <c r="E8" i="4"/>
  <c r="K6" i="4" l="1"/>
  <c r="J5" i="4" l="1"/>
  <c r="J8" i="4" s="1"/>
  <c r="F5" i="4"/>
  <c r="B20" i="2"/>
  <c r="B19" i="1"/>
  <c r="G5" i="4" l="1"/>
  <c r="K5" i="4" s="1"/>
  <c r="F8" i="4"/>
  <c r="F9" i="5" l="1"/>
  <c r="B9" i="5"/>
  <c r="D9" i="5"/>
  <c r="C9" i="5"/>
  <c r="E9" i="5"/>
  <c r="F5" i="5"/>
  <c r="B5" i="5"/>
  <c r="D5" i="5"/>
  <c r="C5" i="5"/>
  <c r="E5" i="5"/>
  <c r="M9" i="5" l="1"/>
  <c r="B29" i="5" s="1"/>
  <c r="L9" i="5"/>
  <c r="B25" i="5" s="1"/>
  <c r="I9" i="5"/>
  <c r="H9" i="5"/>
  <c r="B17" i="5" s="1"/>
  <c r="K9" i="5"/>
  <c r="J9" i="5"/>
  <c r="I5" i="5"/>
  <c r="H5" i="5"/>
  <c r="K5" i="5"/>
  <c r="B28" i="5" s="1"/>
  <c r="J5" i="5"/>
  <c r="B24" i="5" s="1"/>
  <c r="G4" i="4"/>
  <c r="G3" i="4"/>
  <c r="K3" i="4" l="1"/>
  <c r="K4" i="4"/>
  <c r="C8" i="4"/>
  <c r="E11" i="4" s="1"/>
  <c r="K8" i="4" l="1"/>
  <c r="L7" i="4" s="1"/>
  <c r="D4" i="4"/>
  <c r="D3" i="4"/>
  <c r="G8" i="4"/>
  <c r="L6" i="4" l="1"/>
  <c r="H5" i="4"/>
  <c r="H6" i="4"/>
  <c r="D8" i="4"/>
  <c r="L5" i="4"/>
  <c r="I12" i="4"/>
  <c r="E12" i="4"/>
  <c r="I11" i="4"/>
  <c r="L3" i="4"/>
  <c r="L4" i="4"/>
  <c r="H4" i="4"/>
  <c r="H3" i="4"/>
  <c r="H8" i="4" s="1"/>
  <c r="C10" i="1"/>
  <c r="D10" i="1" s="1"/>
  <c r="E10" i="1" s="1"/>
  <c r="C9" i="1"/>
  <c r="D9" i="1" s="1"/>
  <c r="E9" i="1" s="1"/>
  <c r="L8" i="4" l="1"/>
  <c r="E25" i="1"/>
  <c r="E24" i="1"/>
  <c r="E19" i="1"/>
  <c r="E6" i="1"/>
  <c r="C13" i="1"/>
  <c r="D13" i="1" s="1"/>
  <c r="E13" i="1" s="1"/>
  <c r="B13" i="2" s="1"/>
  <c r="D25" i="1"/>
  <c r="D24" i="1"/>
  <c r="D19" i="1"/>
  <c r="D6" i="1"/>
  <c r="C25" i="1"/>
  <c r="C24" i="1"/>
  <c r="C19" i="1"/>
  <c r="C6" i="1"/>
  <c r="B13" i="1"/>
  <c r="E16" i="1" l="1"/>
  <c r="E17" i="1" s="1"/>
  <c r="E18" i="1" s="1"/>
  <c r="E20" i="1" s="1"/>
  <c r="E26" i="1" s="1"/>
  <c r="D16" i="1"/>
  <c r="D17" i="1" s="1"/>
  <c r="D18" i="1" s="1"/>
  <c r="D20" i="1" s="1"/>
  <c r="D26" i="1" s="1"/>
  <c r="C16" i="1"/>
  <c r="C17" i="1" s="1"/>
  <c r="C18" i="1" s="1"/>
  <c r="C20" i="1" s="1"/>
  <c r="C21" i="1" s="1"/>
  <c r="C30" i="1" s="1"/>
  <c r="D21" i="1" l="1"/>
  <c r="D29" i="1" s="1"/>
  <c r="E21" i="1"/>
  <c r="C26" i="1"/>
  <c r="C31" i="1" s="1"/>
  <c r="C29" i="1"/>
  <c r="D30" i="1" l="1"/>
  <c r="D31" i="1"/>
  <c r="E30" i="1"/>
  <c r="E29" i="1"/>
  <c r="E31" i="1"/>
  <c r="B26" i="2" l="1"/>
  <c r="C26" i="2" s="1"/>
  <c r="B25" i="2"/>
  <c r="C6" i="2"/>
  <c r="C17" i="2" s="1"/>
  <c r="C18" i="2" s="1"/>
  <c r="B17" i="2" s="1"/>
  <c r="B6" i="2"/>
  <c r="B25" i="1"/>
  <c r="B24" i="1"/>
  <c r="B16" i="1"/>
  <c r="B17" i="1" s="1"/>
  <c r="B18" i="1" s="1"/>
  <c r="B20" i="1" s="1"/>
  <c r="B18" i="2" l="1"/>
  <c r="B19" i="2" s="1"/>
  <c r="B21" i="2" s="1"/>
  <c r="B26" i="1"/>
  <c r="C25" i="2"/>
  <c r="B27" i="2" l="1"/>
  <c r="C27" i="2" s="1"/>
  <c r="C20" i="2" s="1"/>
  <c r="B22" i="2"/>
  <c r="B31" i="2" s="1"/>
  <c r="B21" i="1"/>
  <c r="B29" i="1" s="1"/>
  <c r="C21" i="2" l="1"/>
  <c r="C28" i="2" s="1"/>
  <c r="B30" i="1"/>
  <c r="B31" i="1"/>
  <c r="B32" i="2"/>
  <c r="B33" i="2"/>
  <c r="C22" i="2" l="1"/>
  <c r="C34" i="2" s="1"/>
  <c r="C32" i="2" l="1"/>
  <c r="C31" i="2"/>
  <c r="C33" i="2"/>
  <c r="D26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3178F101-A954-E84F-8F64-89123ADF7F59}">
      <text>
        <r>
          <rPr>
            <sz val="10"/>
            <color rgb="FF000000"/>
            <rFont val="Arial"/>
            <family val="2"/>
          </rPr>
          <t xml:space="preserve">HOW TO USE: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1. Click "File"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2. Click "Download as" to download the spreadsheet, or "Make a copy" to copy to your Google account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3. Enter assumptions in the YELLOW boxes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Note: Original worksheet is protected.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8905A77E-8DE6-E544-AB7D-3697B55FD21D}">
      <text>
        <r>
          <rPr>
            <sz val="11"/>
            <color rgb="FF000000"/>
            <rFont val="Calibri"/>
            <family val="2"/>
          </rPr>
          <t>HOW TO USE:
1. Click "File"
2. Click "Download as" to download the spreadsheet, or "Make a copy" to copy to your Google account
3. Enter assumptions in the YELLOW boxes
Note: Original worksheet is protected.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D765BB08-9A8E-ED4D-9D54-8E9F6031F2E6}">
      <text>
        <r>
          <rPr>
            <sz val="11"/>
            <color rgb="FF000000"/>
            <rFont val="Calibri"/>
            <family val="2"/>
          </rPr>
          <t xml:space="preserve">HOW TO USE: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1. Click "File"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2. Click "Download as" to download the spreadsheet, or "Make a copy" to copy to your Google account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3. Enter assumptions in the YELLOW boxes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Note: Original worksheet is protected.</t>
        </r>
      </text>
    </comment>
  </commentList>
</comments>
</file>

<file path=xl/sharedStrings.xml><?xml version="1.0" encoding="utf-8"?>
<sst xmlns="http://schemas.openxmlformats.org/spreadsheetml/2006/main" count="337" uniqueCount="217">
  <si>
    <t>Deal assumptions</t>
  </si>
  <si>
    <t>Investment</t>
  </si>
  <si>
    <t>Time to next round/exit</t>
  </si>
  <si>
    <t>Discount rate</t>
  </si>
  <si>
    <t>Cash-on-cash multiple (by round)</t>
  </si>
  <si>
    <t>Inital shares assumption</t>
  </si>
  <si>
    <t>Founder shares</t>
  </si>
  <si>
    <t>Option pool</t>
  </si>
  <si>
    <t>Estimated exit value</t>
  </si>
  <si>
    <t>Valuation and shares</t>
  </si>
  <si>
    <t>Post-money valuation</t>
  </si>
  <si>
    <t>Pre-money valuation</t>
  </si>
  <si>
    <t>Price per share</t>
  </si>
  <si>
    <t xml:space="preserve">"Old" shares </t>
  </si>
  <si>
    <t>New shares</t>
  </si>
  <si>
    <t>Total shares</t>
  </si>
  <si>
    <t>Division of shares</t>
  </si>
  <si>
    <t>Investor shares (1st round)</t>
  </si>
  <si>
    <t>Division of ownership</t>
  </si>
  <si>
    <t>Ownership of founders</t>
  </si>
  <si>
    <t>Ownership of stock option pool</t>
  </si>
  <si>
    <t>Ownership of investors (1st round)</t>
  </si>
  <si>
    <t>Round 1</t>
  </si>
  <si>
    <t>Round 2</t>
  </si>
  <si>
    <t>VCM with two rounds</t>
  </si>
  <si>
    <t>Investor shares (2nd round)</t>
  </si>
  <si>
    <t>NA</t>
  </si>
  <si>
    <t>Ownership of investors (2nd round)</t>
  </si>
  <si>
    <t>Comparable analysis</t>
  </si>
  <si>
    <t>Company 1</t>
  </si>
  <si>
    <t>Company 2</t>
  </si>
  <si>
    <t>Company 3</t>
  </si>
  <si>
    <t>Company 4</t>
  </si>
  <si>
    <t>Company 5</t>
  </si>
  <si>
    <t>Revenues</t>
  </si>
  <si>
    <t>Earnings</t>
  </si>
  <si>
    <t>Revenue multiplier</t>
  </si>
  <si>
    <t>Market value</t>
  </si>
  <si>
    <t>Earnings multiplier</t>
  </si>
  <si>
    <t>Average</t>
  </si>
  <si>
    <t>Median</t>
  </si>
  <si>
    <t>Max</t>
  </si>
  <si>
    <t>Min</t>
  </si>
  <si>
    <t>Exit values calculations</t>
  </si>
  <si>
    <t>Revenue-based exit value</t>
  </si>
  <si>
    <t>Earnings-based exit value</t>
  </si>
  <si>
    <t xml:space="preserve">Lower exit value </t>
  </si>
  <si>
    <t>Slower exit</t>
  </si>
  <si>
    <t>* Corresponds to 25% probability of death per year</t>
  </si>
  <si>
    <t>Ownership</t>
  </si>
  <si>
    <t>At founding</t>
  </si>
  <si>
    <t>First round</t>
  </si>
  <si>
    <t>Total</t>
  </si>
  <si>
    <t>New Shares</t>
  </si>
  <si>
    <t>`</t>
  </si>
  <si>
    <t>New  shares</t>
  </si>
  <si>
    <t>Entrepreneur model</t>
  </si>
  <si>
    <t>Second round</t>
  </si>
  <si>
    <t>Equity Comparables Method</t>
  </si>
  <si>
    <t>Revenues in year 5 - investee company</t>
  </si>
  <si>
    <t>Earnings in year 5 - investee company</t>
  </si>
  <si>
    <r>
      <t xml:space="preserve">Earnings-based exit value </t>
    </r>
    <r>
      <rPr>
        <b/>
        <i/>
        <sz val="11"/>
        <color theme="1"/>
        <rFont val="Calibri"/>
        <family val="2"/>
        <scheme val="minor"/>
      </rPr>
      <t>(positive earnings only)</t>
    </r>
  </si>
  <si>
    <t>Investee company</t>
  </si>
  <si>
    <r>
      <t xml:space="preserve">Enterprise value </t>
    </r>
    <r>
      <rPr>
        <b/>
        <sz val="12"/>
        <color rgb="FFC00000"/>
        <rFont val="Calibri (Body)"/>
      </rPr>
      <t>*</t>
    </r>
  </si>
  <si>
    <r>
      <t xml:space="preserve">Based on </t>
    </r>
    <r>
      <rPr>
        <b/>
        <i/>
        <sz val="11"/>
        <color rgb="FFC00000"/>
        <rFont val="Calibri (Body)"/>
      </rPr>
      <t>Max</t>
    </r>
  </si>
  <si>
    <r>
      <t xml:space="preserve">Based on </t>
    </r>
    <r>
      <rPr>
        <b/>
        <i/>
        <sz val="11"/>
        <color rgb="FFC00000"/>
        <rFont val="Calibri (Body)"/>
      </rPr>
      <t>Min</t>
    </r>
  </si>
  <si>
    <r>
      <t xml:space="preserve">Based on </t>
    </r>
    <r>
      <rPr>
        <b/>
        <i/>
        <sz val="11"/>
        <color rgb="FFC00000"/>
        <rFont val="Calibri (Body)"/>
      </rPr>
      <t xml:space="preserve">Average </t>
    </r>
  </si>
  <si>
    <r>
      <t xml:space="preserve">Based on </t>
    </r>
    <r>
      <rPr>
        <b/>
        <i/>
        <sz val="11"/>
        <color rgb="FFC00000"/>
        <rFont val="Calibri (Body)"/>
      </rPr>
      <t xml:space="preserve">Median </t>
    </r>
  </si>
  <si>
    <t>Founders</t>
  </si>
  <si>
    <t>Share option pool</t>
  </si>
  <si>
    <t>Fund 1</t>
  </si>
  <si>
    <t>Fund 2</t>
  </si>
  <si>
    <t>Fund 3</t>
  </si>
  <si>
    <t>Note:</t>
  </si>
  <si>
    <t>Founder initial investment at £0.000001 per share</t>
  </si>
  <si>
    <t>Valuations</t>
  </si>
  <si>
    <t>Venture Capital Method - 2 Rounds</t>
  </si>
  <si>
    <t>Venture Capital Method - Single Round</t>
  </si>
  <si>
    <t>Cap Table /</t>
  </si>
  <si>
    <t>Venture Capital Method with Sensitivity Analysis</t>
  </si>
  <si>
    <t>(?)</t>
  </si>
  <si>
    <t>vcmethod.com</t>
  </si>
  <si>
    <t>Base Model</t>
  </si>
  <si>
    <t>Variation 1</t>
  </si>
  <si>
    <t>Variation 2</t>
  </si>
  <si>
    <t>Variation 3</t>
  </si>
  <si>
    <t>Variation 4</t>
  </si>
  <si>
    <t>Variation 5</t>
  </si>
  <si>
    <t>Exit Value</t>
  </si>
  <si>
    <t>V</t>
  </si>
  <si>
    <t>Time to exit</t>
  </si>
  <si>
    <t>t</t>
  </si>
  <si>
    <t>r</t>
  </si>
  <si>
    <t>Investment Amount</t>
  </si>
  <si>
    <t>I</t>
  </si>
  <si>
    <t>Number of existing shares</t>
  </si>
  <si>
    <t>x</t>
  </si>
  <si>
    <t>Post-Money</t>
  </si>
  <si>
    <t>POST</t>
  </si>
  <si>
    <t>Pre-Money</t>
  </si>
  <si>
    <t>PRE</t>
  </si>
  <si>
    <t>Ownership fraction of investors</t>
  </si>
  <si>
    <t>F</t>
  </si>
  <si>
    <t>Ownership fraction of entrepreneurs</t>
  </si>
  <si>
    <t>1-F</t>
  </si>
  <si>
    <t>Number of new shares</t>
  </si>
  <si>
    <t>y</t>
  </si>
  <si>
    <t>p</t>
  </si>
  <si>
    <t>Final wealth of investors</t>
  </si>
  <si>
    <t>Final wealth of entrepreneurs</t>
  </si>
  <si>
    <t>NPV of investors' wealth</t>
  </si>
  <si>
    <t>NPV of entrepreneurs' wealth</t>
  </si>
  <si>
    <t>Notes:</t>
  </si>
  <si>
    <t>Terminal Value (at time of exit)</t>
  </si>
  <si>
    <t>Time to exit event</t>
  </si>
  <si>
    <t>Discount return used by investors</t>
  </si>
  <si>
    <t>Amount of investment</t>
  </si>
  <si>
    <t>Number of existing shares (owned by the entrepreneurs)</t>
  </si>
  <si>
    <t>Post-Money Valuation: POST = V/(1+r)^t</t>
  </si>
  <si>
    <t>Pre-Money Valuation: PRE = POST - 1</t>
  </si>
  <si>
    <t>Required ownership fraction for the investor: F = I / POST</t>
  </si>
  <si>
    <t>Number of shares the investors require to achieve their desired ownership fraction: 
y = x[F/(1-F)]</t>
  </si>
  <si>
    <t>Price per share: p = I / y</t>
  </si>
  <si>
    <t>* Enterprise value = market cap + short term debt + long term debt + cash + cash equivalents [+ unfunded pension liabilities + minority interest for subsidiaries less than 50% controlled]</t>
  </si>
  <si>
    <t>Single period Net Present Value method</t>
  </si>
  <si>
    <r>
      <t>Higher discount rate</t>
    </r>
    <r>
      <rPr>
        <sz val="11"/>
        <color rgb="FFC00000"/>
        <rFont val="Calibri (Body)"/>
      </rPr>
      <t>*</t>
    </r>
  </si>
  <si>
    <t>v1.0</t>
  </si>
  <si>
    <r>
      <t xml:space="preserve">Positive </t>
    </r>
    <r>
      <rPr>
        <b/>
        <i/>
        <sz val="11"/>
        <color rgb="FFC00000"/>
        <rFont val="Calibri"/>
        <family val="2"/>
        <scheme val="minor"/>
      </rPr>
      <t>earnings</t>
    </r>
    <r>
      <rPr>
        <b/>
        <sz val="11"/>
        <color rgb="FFC00000"/>
        <rFont val="Calibri"/>
        <family val="2"/>
        <scheme val="minor"/>
      </rPr>
      <t xml:space="preserve"> only</t>
    </r>
  </si>
  <si>
    <t>Exit value assumptions</t>
  </si>
  <si>
    <t>Berkus Method</t>
  </si>
  <si>
    <t>Value Driver</t>
  </si>
  <si>
    <t>Add to Pre-Money Valuation</t>
  </si>
  <si>
    <t>Assigned Value</t>
  </si>
  <si>
    <t>1. Sound Idea (basic value, product risk)</t>
  </si>
  <si>
    <t>2. Prototype (reduces technology risk)</t>
  </si>
  <si>
    <t>3. Quality Management Team (reduces execution risk)</t>
  </si>
  <si>
    <t>4. Strategic Relationships (reduces market risk and competitive risk)</t>
  </si>
  <si>
    <t>5. Product Rollout or Sales (reduces financial or production risk)</t>
  </si>
  <si>
    <t>PRE-MONEY VALUATION</t>
  </si>
  <si>
    <t xml:space="preserve">The Berkus Method uses both qualitative and quantitative factors to calculate a valuation based on five drivers. It was developed in the late-1990s by Dave Berkus. </t>
  </si>
  <si>
    <t>£0-£500,000</t>
  </si>
  <si>
    <t xml:space="preserve"> £0-£500,000 </t>
  </si>
  <si>
    <t>Scorecard Method</t>
  </si>
  <si>
    <t>Gather valuations for other pre-revenue companies in your sector within your geographic region ("Comparables").</t>
  </si>
  <si>
    <t>Company</t>
  </si>
  <si>
    <t>Valuation</t>
  </si>
  <si>
    <t>Comparable A</t>
  </si>
  <si>
    <t>Comparable B</t>
  </si>
  <si>
    <t>Comparable C</t>
  </si>
  <si>
    <t>Comparable D</t>
  </si>
  <si>
    <t>Calculate the average of those valuations.</t>
  </si>
  <si>
    <t>Average of Comparables:</t>
  </si>
  <si>
    <t>Compare your company to similar deals done in your area using the following factors.</t>
  </si>
  <si>
    <t>Weight</t>
  </si>
  <si>
    <t>Your Venture’s Score</t>
  </si>
  <si>
    <t>Factor</t>
  </si>
  <si>
    <t>Strength of the Management Team</t>
  </si>
  <si>
    <t>Size of the Opportunity</t>
  </si>
  <si>
    <t>Product/Technology</t>
  </si>
  <si>
    <t>Competitive Environment</t>
  </si>
  <si>
    <t>Marketing/Sales Channels/Partnerships</t>
  </si>
  <si>
    <t>Need for Additional Investment</t>
  </si>
  <si>
    <t>Other</t>
  </si>
  <si>
    <t>Your Venture's Score: If your company’s performance for one of the Value Drivers is about average, input 100% as your score for that Value Driver. If it is stronger than average, input a number greater than 100% (such as 125% if you believe that your company performs about 25% better). If your company is weaker, input a score less than 100%.</t>
  </si>
  <si>
    <t>Sum of Factors</t>
  </si>
  <si>
    <t>Average of Comparable</t>
  </si>
  <si>
    <t>YOUR PRE-MONEY VALUATION</t>
  </si>
  <si>
    <t>Basic Assumptions</t>
  </si>
  <si>
    <t>Basil accepts a single round investment of £3M at a pre-money valuation of £10.5M</t>
  </si>
  <si>
    <t>Investment £</t>
  </si>
  <si>
    <t>No dividends are accrued between investment and exit</t>
  </si>
  <si>
    <t>Pre-money £</t>
  </si>
  <si>
    <t>The Founders and employee option holders hold ordinary shares (and form a single group).</t>
  </si>
  <si>
    <t>Founder/employee shares</t>
  </si>
  <si>
    <t>The share option pool is fully vested at the time of exit</t>
  </si>
  <si>
    <t>Post-money £</t>
  </si>
  <si>
    <t>Investor price/share £</t>
  </si>
  <si>
    <t>Investor shares</t>
  </si>
  <si>
    <t xml:space="preserve">Cap table at time of exit: </t>
  </si>
  <si>
    <t>shares</t>
  </si>
  <si>
    <t>percent</t>
  </si>
  <si>
    <t>NOTE:</t>
  </si>
  <si>
    <t>Ownership of investors</t>
  </si>
  <si>
    <t>All highlighted cells can be altered</t>
  </si>
  <si>
    <t>Ownership of founders and employees</t>
  </si>
  <si>
    <t>total</t>
  </si>
  <si>
    <t xml:space="preserve">Exit returns: if investor purchases ORDINARY SHARES/common stock </t>
  </si>
  <si>
    <t>Scenario 1:</t>
  </si>
  <si>
    <t>Exit Valuation of Basil - £</t>
  </si>
  <si>
    <t xml:space="preserve">Exit Return to Investors </t>
  </si>
  <si>
    <t>Exit Return to Founders and Employees</t>
  </si>
  <si>
    <t>Checking</t>
  </si>
  <si>
    <t>Scenario 2:</t>
  </si>
  <si>
    <r>
      <t xml:space="preserve">Investors purchase </t>
    </r>
    <r>
      <rPr>
        <b/>
        <sz val="11"/>
        <color rgb="FFC00000"/>
        <rFont val="Calibri"/>
        <family val="2"/>
        <scheme val="minor"/>
      </rPr>
      <t>convertible preference shares.</t>
    </r>
  </si>
  <si>
    <t>These shares include a liquidation preference:</t>
  </si>
  <si>
    <t>Investors will choose the higher return</t>
  </si>
  <si>
    <t xml:space="preserve">Liquidation Preference </t>
  </si>
  <si>
    <t>Investor chooses?</t>
  </si>
  <si>
    <t xml:space="preserve">Return to investors </t>
  </si>
  <si>
    <t>Return to founders and employees</t>
  </si>
  <si>
    <t>Scenario 3:</t>
  </si>
  <si>
    <r>
      <t xml:space="preserve">Investors purchase </t>
    </r>
    <r>
      <rPr>
        <b/>
        <sz val="11"/>
        <color rgb="FFC00000"/>
        <rFont val="Calibri"/>
        <family val="2"/>
        <scheme val="minor"/>
      </rPr>
      <t>participating preferences shares.</t>
    </r>
  </si>
  <si>
    <t>A 'double dipping' outcome for investors.</t>
  </si>
  <si>
    <t>Investor Conversion Return</t>
  </si>
  <si>
    <t>Total return to investors (pref + conversion)</t>
  </si>
  <si>
    <t>Exit value</t>
  </si>
  <si>
    <t>Exit returns: if investor purchases CONVERTIBLE preference shares/preferred equity</t>
  </si>
  <si>
    <t>Exit returns: if investor purchases PARTICIPATING preference shares/preferred equity</t>
  </si>
  <si>
    <r>
      <rPr>
        <sz val="11"/>
        <color rgb="FFC00000"/>
        <rFont val="Calibri"/>
        <family val="2"/>
        <scheme val="minor"/>
      </rPr>
      <t>Investors purchase</t>
    </r>
    <r>
      <rPr>
        <b/>
        <sz val="11"/>
        <color rgb="FFC00000"/>
        <rFont val="Calibri"/>
        <family val="2"/>
        <scheme val="minor"/>
      </rPr>
      <t xml:space="preserve"> ORDINARY SHARES only: </t>
    </r>
    <r>
      <rPr>
        <sz val="11"/>
        <color rgb="FFC00000"/>
        <rFont val="Calibri"/>
        <family val="2"/>
        <scheme val="minor"/>
      </rPr>
      <t xml:space="preserve">unusual for VC funds, but useful base case comparator. Simple </t>
    </r>
    <r>
      <rPr>
        <i/>
        <sz val="11"/>
        <color rgb="FFC00000"/>
        <rFont val="Calibri"/>
        <family val="2"/>
        <scheme val="minor"/>
      </rPr>
      <t xml:space="preserve">pro rata </t>
    </r>
    <r>
      <rPr>
        <sz val="11"/>
        <color rgb="FFC00000"/>
        <rFont val="Calibri"/>
        <family val="2"/>
        <scheme val="minor"/>
      </rPr>
      <t>returns.</t>
    </r>
  </si>
  <si>
    <t>Investor Liquidation Preference Return</t>
  </si>
  <si>
    <r>
      <t xml:space="preserve">Impact of Ordinary </t>
    </r>
    <r>
      <rPr>
        <b/>
        <i/>
        <u/>
        <sz val="20"/>
        <color rgb="FFC00000"/>
        <rFont val="Calibri"/>
        <family val="2"/>
        <scheme val="minor"/>
      </rPr>
      <t>vs</t>
    </r>
    <r>
      <rPr>
        <b/>
        <u/>
        <sz val="20"/>
        <color rgb="FFC00000"/>
        <rFont val="Calibri"/>
        <family val="2"/>
        <scheme val="minor"/>
      </rPr>
      <t xml:space="preserve"> Convertible </t>
    </r>
    <r>
      <rPr>
        <b/>
        <i/>
        <u/>
        <sz val="20"/>
        <color rgb="FFC00000"/>
        <rFont val="Calibri"/>
        <family val="2"/>
        <scheme val="minor"/>
      </rPr>
      <t>vs</t>
    </r>
    <r>
      <rPr>
        <b/>
        <u/>
        <sz val="20"/>
        <color rgb="FFC00000"/>
        <rFont val="Calibri"/>
        <family val="2"/>
        <scheme val="minor"/>
      </rPr>
      <t xml:space="preserve"> Participating Preference Shares </t>
    </r>
  </si>
  <si>
    <t xml:space="preserve"> 'Exit returns' mean financial proceeds on exit, not taking account of the original cost of investment.</t>
  </si>
  <si>
    <t>Investor Conversion to Ordinary Return</t>
  </si>
  <si>
    <r>
      <t xml:space="preserve">The investors </t>
    </r>
    <r>
      <rPr>
        <b/>
        <u/>
        <sz val="11"/>
        <color theme="1"/>
        <rFont val="Calibri (Body)"/>
      </rPr>
      <t>must choose</t>
    </r>
    <r>
      <rPr>
        <sz val="11"/>
        <color theme="1"/>
        <rFont val="Calibri"/>
        <family val="2"/>
        <scheme val="minor"/>
      </rPr>
      <t xml:space="preserve"> on exit whether (1) to take up their l</t>
    </r>
    <r>
      <rPr>
        <b/>
        <sz val="11"/>
        <color theme="1"/>
        <rFont val="Calibri"/>
        <family val="2"/>
        <scheme val="minor"/>
      </rPr>
      <t xml:space="preserve">iquidation preference </t>
    </r>
    <r>
      <rPr>
        <sz val="11"/>
        <color theme="1"/>
        <rFont val="Calibri"/>
        <family val="2"/>
        <scheme val="minor"/>
      </rPr>
      <t xml:space="preserve">or (2) </t>
    </r>
    <r>
      <rPr>
        <b/>
        <sz val="11"/>
        <color theme="1"/>
        <rFont val="Calibri"/>
        <family val="2"/>
        <scheme val="minor"/>
      </rPr>
      <t>convert to ordinary shares</t>
    </r>
    <r>
      <rPr>
        <sz val="11"/>
        <color theme="1"/>
        <rFont val="Calibri"/>
        <family val="2"/>
        <scheme val="minor"/>
      </rPr>
      <t xml:space="preserve"> and share on an equal basis in the proceeds.</t>
    </r>
  </si>
  <si>
    <r>
      <t xml:space="preserve">1. the investor takes its </t>
    </r>
    <r>
      <rPr>
        <b/>
        <sz val="11"/>
        <color theme="1"/>
        <rFont val="Calibri"/>
        <family val="2"/>
        <scheme val="minor"/>
      </rPr>
      <t>liquidation preference</t>
    </r>
    <r>
      <rPr>
        <sz val="11"/>
        <color theme="1"/>
        <rFont val="Calibri"/>
        <family val="2"/>
        <scheme val="minor"/>
      </rPr>
      <t xml:space="preserve"> AND </t>
    </r>
  </si>
  <si>
    <r>
      <t xml:space="preserve">2. ALSO </t>
    </r>
    <r>
      <rPr>
        <b/>
        <sz val="11"/>
        <color theme="1"/>
        <rFont val="Calibri"/>
        <family val="2"/>
        <scheme val="minor"/>
      </rPr>
      <t>shares in the residual proceeds</t>
    </r>
    <r>
      <rPr>
        <sz val="11"/>
        <color theme="1"/>
        <rFont val="Calibri"/>
        <family val="2"/>
        <scheme val="minor"/>
      </rPr>
      <t xml:space="preserve"> of sale pro rata by converting to ordinary shares</t>
    </r>
  </si>
  <si>
    <t>No further investment rounds take place.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</si>
</sst>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£&quot;#,##0;[Red]\-&quot;£&quot;#,##0"/>
    <numFmt numFmtId="166" formatCode="&quot;£&quot;#,##0.00;[Red]\-&quot;£&quot;#,##0.00"/>
    <numFmt numFmtId="167" formatCode="&quot;£&quot;#,##0"/>
    <numFmt numFmtId="168" formatCode="&quot;£&quot;#,##0.00"/>
    <numFmt numFmtId="169" formatCode="[$£-809]#,##0"/>
    <numFmt numFmtId="170" formatCode="[$£-809]#,##0.00"/>
    <numFmt numFmtId="171" formatCode="[$£-809]#,##0;[Red]\-[$£-809]#,##0"/>
    <numFmt numFmtId="172" formatCode="#,##0;\(#,##0\)"/>
    <numFmt numFmtId="173" formatCode="_-[$£-809]* #,##0.00_-;\-[$£-809]* #,##0.00_-;_-[$£-809]* &quot;-&quot;??_-;_-@_-"/>
    <numFmt numFmtId="174" formatCode="_-[$£-809]* #,##0_-;\-[$£-809]* #,##0_-;_-[$£-809]* &quot;-&quot;??_-;_-@_-"/>
    <numFmt numFmtId="175" formatCode="_(&quot;$&quot;* #,##0_);_(&quot;$&quot;* \(#,##0\);_(&quot;$&quot;* &quot;-&quot;??_);_(@_)"/>
    <numFmt numFmtId="176" formatCode="_-* #,##0_-;\-* #,##0_-;_-* &quot;-&quot;??_-;_-@_-"/>
    <numFmt numFmtId="177" formatCode="_(* #,##0_);_(* \(#,##0\);_(* &quot;-&quot;??_);_(@_)"/>
    <numFmt numFmtId="178" formatCode="#.0\x"/>
  </numFmts>
  <fonts count="4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C00000"/>
      <name val="Calibri (Body)"/>
    </font>
    <font>
      <b/>
      <i/>
      <sz val="11"/>
      <color rgb="FFC00000"/>
      <name val="Calibri (Body)"/>
    </font>
    <font>
      <b/>
      <sz val="11"/>
      <color rgb="FFFF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Calibri (Body)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20"/>
      <color rgb="FFC0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u/>
      <sz val="11"/>
      <color theme="1"/>
      <name val="Calibri (Body)"/>
    </font>
    <font>
      <b/>
      <i/>
      <sz val="11"/>
      <color theme="4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87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9" fontId="0" fillId="4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0" fontId="0" fillId="7" borderId="0" xfId="0" applyNumberFormat="1" applyFill="1" applyAlignment="1">
      <alignment horizontal="center"/>
    </xf>
    <xf numFmtId="3" fontId="0" fillId="0" borderId="0" xfId="0" applyNumberFormat="1"/>
    <xf numFmtId="167" fontId="0" fillId="0" borderId="0" xfId="0" applyNumberFormat="1"/>
    <xf numFmtId="171" fontId="0" fillId="4" borderId="0" xfId="0" applyNumberFormat="1" applyFill="1" applyAlignment="1">
      <alignment horizontal="center"/>
    </xf>
    <xf numFmtId="170" fontId="0" fillId="7" borderId="0" xfId="0" applyNumberFormat="1" applyFill="1" applyAlignment="1">
      <alignment horizontal="center"/>
    </xf>
    <xf numFmtId="164" fontId="0" fillId="0" borderId="0" xfId="1" applyFont="1"/>
    <xf numFmtId="4" fontId="0" fillId="2" borderId="1" xfId="0" applyNumberFormat="1" applyFill="1" applyBorder="1"/>
    <xf numFmtId="4" fontId="0" fillId="10" borderId="1" xfId="0" applyNumberFormat="1" applyFill="1" applyBorder="1"/>
    <xf numFmtId="4" fontId="0" fillId="14" borderId="1" xfId="0" applyNumberFormat="1" applyFill="1" applyBorder="1"/>
    <xf numFmtId="169" fontId="0" fillId="0" borderId="6" xfId="0" applyNumberFormat="1" applyBorder="1"/>
    <xf numFmtId="169" fontId="0" fillId="4" borderId="6" xfId="0" applyNumberFormat="1" applyFill="1" applyBorder="1"/>
    <xf numFmtId="169" fontId="0" fillId="10" borderId="6" xfId="0" applyNumberFormat="1" applyFill="1" applyBorder="1"/>
    <xf numFmtId="169" fontId="0" fillId="2" borderId="6" xfId="0" applyNumberFormat="1" applyFill="1" applyBorder="1"/>
    <xf numFmtId="169" fontId="0" fillId="9" borderId="6" xfId="0" applyNumberFormat="1" applyFill="1" applyBorder="1"/>
    <xf numFmtId="169" fontId="0" fillId="14" borderId="6" xfId="0" applyNumberFormat="1" applyFill="1" applyBorder="1"/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2" fillId="13" borderId="9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4" fontId="0" fillId="4" borderId="12" xfId="0" applyNumberFormat="1" applyFill="1" applyBorder="1"/>
    <xf numFmtId="4" fontId="0" fillId="4" borderId="14" xfId="0" applyNumberFormat="1" applyFill="1" applyBorder="1"/>
    <xf numFmtId="4" fontId="0" fillId="10" borderId="15" xfId="0" applyNumberFormat="1" applyFill="1" applyBorder="1"/>
    <xf numFmtId="4" fontId="0" fillId="9" borderId="15" xfId="0" applyNumberFormat="1" applyFill="1" applyBorder="1"/>
    <xf numFmtId="0" fontId="7" fillId="0" borderId="0" xfId="0" applyFont="1"/>
    <xf numFmtId="0" fontId="6" fillId="14" borderId="19" xfId="0" applyFont="1" applyFill="1" applyBorder="1" applyAlignment="1">
      <alignment horizontal="center"/>
    </xf>
    <xf numFmtId="2" fontId="0" fillId="0" borderId="0" xfId="0" applyNumberFormat="1"/>
    <xf numFmtId="0" fontId="2" fillId="13" borderId="23" xfId="0" applyFont="1" applyFill="1" applyBorder="1"/>
    <xf numFmtId="0" fontId="2" fillId="13" borderId="24" xfId="0" applyFont="1" applyFill="1" applyBorder="1"/>
    <xf numFmtId="0" fontId="2" fillId="13" borderId="25" xfId="0" applyFont="1" applyFill="1" applyBorder="1"/>
    <xf numFmtId="167" fontId="2" fillId="17" borderId="23" xfId="0" applyNumberFormat="1" applyFont="1" applyFill="1" applyBorder="1"/>
    <xf numFmtId="0" fontId="2" fillId="17" borderId="24" xfId="0" applyFont="1" applyFill="1" applyBorder="1"/>
    <xf numFmtId="0" fontId="2" fillId="17" borderId="25" xfId="0" applyFont="1" applyFill="1" applyBorder="1"/>
    <xf numFmtId="0" fontId="2" fillId="14" borderId="24" xfId="0" applyFont="1" applyFill="1" applyBorder="1"/>
    <xf numFmtId="0" fontId="2" fillId="14" borderId="25" xfId="0" applyFont="1" applyFill="1" applyBorder="1"/>
    <xf numFmtId="165" fontId="0" fillId="14" borderId="6" xfId="0" applyNumberFormat="1" applyFill="1" applyBorder="1"/>
    <xf numFmtId="165" fontId="0" fillId="14" borderId="8" xfId="0" applyNumberFormat="1" applyFill="1" applyBorder="1"/>
    <xf numFmtId="0" fontId="5" fillId="18" borderId="30" xfId="0" applyFont="1" applyFill="1" applyBorder="1"/>
    <xf numFmtId="171" fontId="0" fillId="4" borderId="6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2" fontId="0" fillId="5" borderId="21" xfId="0" applyNumberFormat="1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0" fontId="2" fillId="2" borderId="22" xfId="0" applyFont="1" applyFill="1" applyBorder="1"/>
    <xf numFmtId="0" fontId="0" fillId="2" borderId="20" xfId="0" applyFill="1" applyBorder="1"/>
    <xf numFmtId="0" fontId="0" fillId="2" borderId="19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3" fontId="3" fillId="4" borderId="0" xfId="0" applyNumberFormat="1" applyFont="1" applyFill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center"/>
    </xf>
    <xf numFmtId="3" fontId="3" fillId="4" borderId="8" xfId="0" applyNumberFormat="1" applyFont="1" applyFill="1" applyBorder="1" applyAlignment="1">
      <alignment horizontal="center"/>
    </xf>
    <xf numFmtId="169" fontId="0" fillId="4" borderId="21" xfId="0" applyNumberFormat="1" applyFill="1" applyBorder="1" applyAlignment="1">
      <alignment horizontal="center"/>
    </xf>
    <xf numFmtId="169" fontId="0" fillId="4" borderId="8" xfId="0" applyNumberFormat="1" applyFill="1" applyBorder="1" applyAlignment="1">
      <alignment horizontal="center"/>
    </xf>
    <xf numFmtId="0" fontId="0" fillId="3" borderId="14" xfId="0" applyFill="1" applyBorder="1"/>
    <xf numFmtId="170" fontId="0" fillId="7" borderId="6" xfId="0" applyNumberForma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0" fontId="2" fillId="6" borderId="22" xfId="0" applyFont="1" applyFill="1" applyBorder="1"/>
    <xf numFmtId="10" fontId="0" fillId="7" borderId="6" xfId="0" applyNumberFormat="1" applyFill="1" applyBorder="1" applyAlignment="1">
      <alignment horizontal="center"/>
    </xf>
    <xf numFmtId="10" fontId="0" fillId="7" borderId="21" xfId="0" applyNumberFormat="1" applyFill="1" applyBorder="1" applyAlignment="1">
      <alignment horizontal="center"/>
    </xf>
    <xf numFmtId="10" fontId="0" fillId="7" borderId="8" xfId="0" applyNumberFormat="1" applyFill="1" applyBorder="1" applyAlignment="1">
      <alignment horizontal="center"/>
    </xf>
    <xf numFmtId="0" fontId="2" fillId="11" borderId="5" xfId="0" applyFont="1" applyFill="1" applyBorder="1"/>
    <xf numFmtId="0" fontId="2" fillId="11" borderId="7" xfId="0" applyFont="1" applyFill="1" applyBorder="1"/>
    <xf numFmtId="44" fontId="0" fillId="19" borderId="5" xfId="2" applyFont="1" applyFill="1" applyBorder="1"/>
    <xf numFmtId="3" fontId="0" fillId="19" borderId="0" xfId="0" applyNumberFormat="1" applyFill="1"/>
    <xf numFmtId="10" fontId="0" fillId="19" borderId="6" xfId="0" applyNumberFormat="1" applyFill="1" applyBorder="1"/>
    <xf numFmtId="0" fontId="0" fillId="19" borderId="6" xfId="0" applyFill="1" applyBorder="1"/>
    <xf numFmtId="167" fontId="0" fillId="19" borderId="5" xfId="0" applyNumberFormat="1" applyFill="1" applyBorder="1"/>
    <xf numFmtId="0" fontId="0" fillId="19" borderId="0" xfId="0" applyFill="1"/>
    <xf numFmtId="167" fontId="0" fillId="19" borderId="0" xfId="0" applyNumberFormat="1" applyFill="1"/>
    <xf numFmtId="0" fontId="0" fillId="19" borderId="29" xfId="0" applyFill="1" applyBorder="1"/>
    <xf numFmtId="0" fontId="0" fillId="19" borderId="21" xfId="0" applyFill="1" applyBorder="1"/>
    <xf numFmtId="0" fontId="0" fillId="19" borderId="4" xfId="0" applyFill="1" applyBorder="1"/>
    <xf numFmtId="0" fontId="0" fillId="19" borderId="8" xfId="0" applyFill="1" applyBorder="1"/>
    <xf numFmtId="167" fontId="0" fillId="10" borderId="31" xfId="0" applyNumberFormat="1" applyFill="1" applyBorder="1"/>
    <xf numFmtId="167" fontId="0" fillId="10" borderId="32" xfId="0" applyNumberFormat="1" applyFill="1" applyBorder="1"/>
    <xf numFmtId="0" fontId="6" fillId="0" borderId="0" xfId="0" applyFont="1"/>
    <xf numFmtId="0" fontId="2" fillId="11" borderId="30" xfId="0" applyFont="1" applyFill="1" applyBorder="1"/>
    <xf numFmtId="0" fontId="2" fillId="11" borderId="31" xfId="0" applyFont="1" applyFill="1" applyBorder="1"/>
    <xf numFmtId="0" fontId="2" fillId="11" borderId="32" xfId="0" applyFont="1" applyFill="1" applyBorder="1"/>
    <xf numFmtId="168" fontId="10" fillId="4" borderId="30" xfId="0" applyNumberFormat="1" applyFont="1" applyFill="1" applyBorder="1"/>
    <xf numFmtId="166" fontId="10" fillId="4" borderId="4" xfId="0" applyNumberFormat="1" applyFont="1" applyFill="1" applyBorder="1"/>
    <xf numFmtId="0" fontId="11" fillId="19" borderId="30" xfId="0" applyFont="1" applyFill="1" applyBorder="1"/>
    <xf numFmtId="0" fontId="11" fillId="19" borderId="32" xfId="0" applyFont="1" applyFill="1" applyBorder="1"/>
    <xf numFmtId="168" fontId="12" fillId="4" borderId="30" xfId="0" applyNumberFormat="1" applyFont="1" applyFill="1" applyBorder="1"/>
    <xf numFmtId="166" fontId="12" fillId="4" borderId="4" xfId="0" applyNumberFormat="1" applyFont="1" applyFill="1" applyBorder="1"/>
    <xf numFmtId="0" fontId="13" fillId="12" borderId="30" xfId="0" applyFont="1" applyFill="1" applyBorder="1"/>
    <xf numFmtId="0" fontId="13" fillId="12" borderId="32" xfId="0" applyFont="1" applyFill="1" applyBorder="1"/>
    <xf numFmtId="0" fontId="0" fillId="11" borderId="12" xfId="0" applyFill="1" applyBorder="1"/>
    <xf numFmtId="4" fontId="0" fillId="13" borderId="16" xfId="0" applyNumberFormat="1" applyFill="1" applyBorder="1"/>
    <xf numFmtId="169" fontId="0" fillId="13" borderId="8" xfId="0" applyNumberFormat="1" applyFill="1" applyBorder="1"/>
    <xf numFmtId="169" fontId="0" fillId="11" borderId="6" xfId="0" applyNumberFormat="1" applyFill="1" applyBorder="1"/>
    <xf numFmtId="169" fontId="0" fillId="19" borderId="1" xfId="0" applyNumberFormat="1" applyFill="1" applyBorder="1"/>
    <xf numFmtId="169" fontId="0" fillId="19" borderId="13" xfId="0" applyNumberFormat="1" applyFill="1" applyBorder="1"/>
    <xf numFmtId="4" fontId="0" fillId="19" borderId="1" xfId="0" applyNumberFormat="1" applyFill="1" applyBorder="1"/>
    <xf numFmtId="4" fontId="0" fillId="19" borderId="13" xfId="0" applyNumberFormat="1" applyFill="1" applyBorder="1"/>
    <xf numFmtId="3" fontId="0" fillId="19" borderId="1" xfId="0" applyNumberFormat="1" applyFill="1" applyBorder="1"/>
    <xf numFmtId="3" fontId="0" fillId="19" borderId="13" xfId="0" applyNumberFormat="1" applyFill="1" applyBorder="1"/>
    <xf numFmtId="4" fontId="0" fillId="19" borderId="15" xfId="0" applyNumberFormat="1" applyFill="1" applyBorder="1"/>
    <xf numFmtId="4" fontId="0" fillId="19" borderId="16" xfId="0" applyNumberFormat="1" applyFill="1" applyBorder="1"/>
    <xf numFmtId="0" fontId="0" fillId="19" borderId="12" xfId="0" applyFill="1" applyBorder="1"/>
    <xf numFmtId="0" fontId="0" fillId="19" borderId="1" xfId="0" applyFill="1" applyBorder="1"/>
    <xf numFmtId="0" fontId="0" fillId="19" borderId="13" xfId="0" applyFill="1" applyBorder="1"/>
    <xf numFmtId="0" fontId="13" fillId="0" borderId="0" xfId="0" applyFont="1"/>
    <xf numFmtId="0" fontId="15" fillId="16" borderId="2" xfId="0" applyFont="1" applyFill="1" applyBorder="1"/>
    <xf numFmtId="0" fontId="0" fillId="0" borderId="0" xfId="0" applyAlignment="1">
      <alignment wrapText="1"/>
    </xf>
    <xf numFmtId="0" fontId="17" fillId="4" borderId="0" xfId="0" applyFont="1" applyFill="1" applyAlignment="1">
      <alignment wrapText="1"/>
    </xf>
    <xf numFmtId="0" fontId="16" fillId="10" borderId="40" xfId="0" applyFont="1" applyFill="1" applyBorder="1"/>
    <xf numFmtId="0" fontId="0" fillId="10" borderId="41" xfId="0" applyFill="1" applyBorder="1" applyAlignment="1">
      <alignment wrapText="1"/>
    </xf>
    <xf numFmtId="0" fontId="16" fillId="10" borderId="41" xfId="0" applyFont="1" applyFill="1" applyBorder="1" applyAlignment="1">
      <alignment horizontal="center"/>
    </xf>
    <xf numFmtId="0" fontId="16" fillId="10" borderId="42" xfId="0" applyFont="1" applyFill="1" applyBorder="1" applyAlignment="1">
      <alignment horizontal="center"/>
    </xf>
    <xf numFmtId="0" fontId="18" fillId="10" borderId="30" xfId="0" applyFont="1" applyFill="1" applyBorder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10" borderId="31" xfId="0" applyFont="1" applyFill="1" applyBorder="1"/>
    <xf numFmtId="0" fontId="18" fillId="20" borderId="0" xfId="0" applyFont="1" applyFill="1"/>
    <xf numFmtId="0" fontId="18" fillId="20" borderId="38" xfId="0" applyFont="1" applyFill="1" applyBorder="1"/>
    <xf numFmtId="0" fontId="18" fillId="21" borderId="36" xfId="0" applyFont="1" applyFill="1" applyBorder="1"/>
    <xf numFmtId="0" fontId="18" fillId="20" borderId="37" xfId="0" applyFont="1" applyFill="1" applyBorder="1"/>
    <xf numFmtId="0" fontId="18" fillId="20" borderId="6" xfId="0" applyFont="1" applyFill="1" applyBorder="1"/>
    <xf numFmtId="9" fontId="18" fillId="20" borderId="0" xfId="0" applyNumberFormat="1" applyFont="1" applyFill="1"/>
    <xf numFmtId="9" fontId="18" fillId="20" borderId="38" xfId="0" applyNumberFormat="1" applyFont="1" applyFill="1" applyBorder="1"/>
    <xf numFmtId="9" fontId="18" fillId="21" borderId="36" xfId="0" applyNumberFormat="1" applyFont="1" applyFill="1" applyBorder="1"/>
    <xf numFmtId="9" fontId="18" fillId="20" borderId="37" xfId="0" applyNumberFormat="1" applyFont="1" applyFill="1" applyBorder="1"/>
    <xf numFmtId="9" fontId="18" fillId="20" borderId="6" xfId="0" applyNumberFormat="1" applyFont="1" applyFill="1" applyBorder="1"/>
    <xf numFmtId="172" fontId="18" fillId="0" borderId="0" xfId="0" applyNumberFormat="1" applyFont="1"/>
    <xf numFmtId="172" fontId="18" fillId="0" borderId="6" xfId="0" applyNumberFormat="1" applyFont="1" applyBorder="1"/>
    <xf numFmtId="0" fontId="18" fillId="10" borderId="32" xfId="0" applyFont="1" applyFill="1" applyBorder="1"/>
    <xf numFmtId="0" fontId="0" fillId="0" borderId="21" xfId="0" applyBorder="1" applyAlignment="1">
      <alignment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 vertical="top"/>
    </xf>
    <xf numFmtId="0" fontId="22" fillId="4" borderId="0" xfId="0" applyFont="1" applyFill="1" applyAlignment="1">
      <alignment horizontal="right" vertical="top" wrapText="1"/>
    </xf>
    <xf numFmtId="174" fontId="18" fillId="21" borderId="39" xfId="0" applyNumberFormat="1" applyFont="1" applyFill="1" applyBorder="1"/>
    <xf numFmtId="174" fontId="18" fillId="20" borderId="37" xfId="0" applyNumberFormat="1" applyFont="1" applyFill="1" applyBorder="1"/>
    <xf numFmtId="174" fontId="18" fillId="20" borderId="0" xfId="0" applyNumberFormat="1" applyFont="1" applyFill="1"/>
    <xf numFmtId="174" fontId="18" fillId="20" borderId="6" xfId="0" applyNumberFormat="1" applyFont="1" applyFill="1" applyBorder="1"/>
    <xf numFmtId="174" fontId="18" fillId="20" borderId="38" xfId="0" applyNumberFormat="1" applyFont="1" applyFill="1" applyBorder="1"/>
    <xf numFmtId="174" fontId="18" fillId="21" borderId="36" xfId="0" applyNumberFormat="1" applyFont="1" applyFill="1" applyBorder="1"/>
    <xf numFmtId="174" fontId="18" fillId="20" borderId="43" xfId="0" applyNumberFormat="1" applyFont="1" applyFill="1" applyBorder="1"/>
    <xf numFmtId="174" fontId="18" fillId="0" borderId="0" xfId="0" applyNumberFormat="1" applyFont="1"/>
    <xf numFmtId="174" fontId="18" fillId="0" borderId="6" xfId="0" applyNumberFormat="1" applyFont="1" applyBorder="1"/>
    <xf numFmtId="174" fontId="18" fillId="0" borderId="21" xfId="0" applyNumberFormat="1" applyFont="1" applyBorder="1"/>
    <xf numFmtId="174" fontId="18" fillId="0" borderId="8" xfId="0" applyNumberFormat="1" applyFont="1" applyBorder="1"/>
    <xf numFmtId="0" fontId="2" fillId="9" borderId="17" xfId="0" applyFont="1" applyFill="1" applyBorder="1"/>
    <xf numFmtId="0" fontId="0" fillId="11" borderId="34" xfId="0" applyFill="1" applyBorder="1"/>
    <xf numFmtId="0" fontId="6" fillId="11" borderId="34" xfId="0" applyFont="1" applyFill="1" applyBorder="1"/>
    <xf numFmtId="0" fontId="0" fillId="11" borderId="35" xfId="0" applyFill="1" applyBorder="1"/>
    <xf numFmtId="0" fontId="6" fillId="11" borderId="12" xfId="0" applyFont="1" applyFill="1" applyBorder="1"/>
    <xf numFmtId="0" fontId="6" fillId="11" borderId="14" xfId="0" applyFont="1" applyFill="1" applyBorder="1"/>
    <xf numFmtId="0" fontId="0" fillId="3" borderId="7" xfId="0" applyFill="1" applyBorder="1"/>
    <xf numFmtId="0" fontId="5" fillId="18" borderId="2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3" fontId="0" fillId="8" borderId="6" xfId="0" applyNumberFormat="1" applyFill="1" applyBorder="1" applyAlignment="1">
      <alignment horizontal="center"/>
    </xf>
    <xf numFmtId="3" fontId="0" fillId="8" borderId="8" xfId="0" applyNumberFormat="1" applyFill="1" applyBorder="1" applyAlignment="1">
      <alignment horizontal="center"/>
    </xf>
    <xf numFmtId="0" fontId="23" fillId="0" borderId="0" xfId="0" applyFont="1" applyAlignment="1">
      <alignment horizontal="left" wrapText="1"/>
    </xf>
    <xf numFmtId="0" fontId="2" fillId="3" borderId="35" xfId="0" applyFont="1" applyFill="1" applyBorder="1"/>
    <xf numFmtId="0" fontId="22" fillId="0" borderId="0" xfId="0" applyFont="1" applyAlignment="1">
      <alignment wrapText="1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170" fontId="0" fillId="7" borderId="46" xfId="0" applyNumberFormat="1" applyFill="1" applyBorder="1" applyAlignment="1">
      <alignment horizontal="center"/>
    </xf>
    <xf numFmtId="170" fontId="0" fillId="7" borderId="47" xfId="0" applyNumberForma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2" fillId="3" borderId="34" xfId="0" applyFont="1" applyFill="1" applyBorder="1"/>
    <xf numFmtId="0" fontId="0" fillId="2" borderId="19" xfId="0" applyFill="1" applyBorder="1" applyAlignment="1">
      <alignment horizontal="center"/>
    </xf>
    <xf numFmtId="0" fontId="2" fillId="2" borderId="30" xfId="0" applyFont="1" applyFill="1" applyBorder="1"/>
    <xf numFmtId="3" fontId="0" fillId="7" borderId="29" xfId="0" applyNumberFormat="1" applyFill="1" applyBorder="1" applyAlignment="1">
      <alignment horizontal="center"/>
    </xf>
    <xf numFmtId="3" fontId="0" fillId="7" borderId="4" xfId="0" applyNumberForma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3" borderId="17" xfId="0" applyFill="1" applyBorder="1"/>
    <xf numFmtId="0" fontId="2" fillId="2" borderId="40" xfId="0" applyFont="1" applyFill="1" applyBorder="1"/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44" fontId="2" fillId="19" borderId="26" xfId="2" applyFont="1" applyFill="1" applyBorder="1"/>
    <xf numFmtId="3" fontId="2" fillId="19" borderId="27" xfId="0" applyNumberFormat="1" applyFont="1" applyFill="1" applyBorder="1"/>
    <xf numFmtId="10" fontId="2" fillId="19" borderId="28" xfId="0" applyNumberFormat="1" applyFont="1" applyFill="1" applyBorder="1"/>
    <xf numFmtId="167" fontId="2" fillId="19" borderId="26" xfId="0" applyNumberFormat="1" applyFont="1" applyFill="1" applyBorder="1"/>
    <xf numFmtId="167" fontId="2" fillId="19" borderId="27" xfId="0" applyNumberFormat="1" applyFont="1" applyFill="1" applyBorder="1"/>
    <xf numFmtId="44" fontId="2" fillId="13" borderId="26" xfId="2" applyFont="1" applyFill="1" applyBorder="1"/>
    <xf numFmtId="3" fontId="2" fillId="13" borderId="27" xfId="0" applyNumberFormat="1" applyFont="1" applyFill="1" applyBorder="1"/>
    <xf numFmtId="10" fontId="2" fillId="13" borderId="28" xfId="0" applyNumberFormat="1" applyFont="1" applyFill="1" applyBorder="1"/>
    <xf numFmtId="167" fontId="2" fillId="7" borderId="26" xfId="0" applyNumberFormat="1" applyFont="1" applyFill="1" applyBorder="1"/>
    <xf numFmtId="3" fontId="2" fillId="7" borderId="27" xfId="0" applyNumberFormat="1" applyFont="1" applyFill="1" applyBorder="1"/>
    <xf numFmtId="10" fontId="2" fillId="7" borderId="28" xfId="0" applyNumberFormat="1" applyFont="1" applyFill="1" applyBorder="1"/>
    <xf numFmtId="167" fontId="2" fillId="14" borderId="27" xfId="0" applyNumberFormat="1" applyFont="1" applyFill="1" applyBorder="1"/>
    <xf numFmtId="3" fontId="2" fillId="14" borderId="27" xfId="0" applyNumberFormat="1" applyFont="1" applyFill="1" applyBorder="1"/>
    <xf numFmtId="10" fontId="2" fillId="14" borderId="28" xfId="0" applyNumberFormat="1" applyFont="1" applyFill="1" applyBorder="1"/>
    <xf numFmtId="0" fontId="18" fillId="10" borderId="48" xfId="0" applyFont="1" applyFill="1" applyBorder="1"/>
    <xf numFmtId="0" fontId="19" fillId="0" borderId="49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172" fontId="18" fillId="20" borderId="49" xfId="0" applyNumberFormat="1" applyFont="1" applyFill="1" applyBorder="1"/>
    <xf numFmtId="172" fontId="18" fillId="20" borderId="50" xfId="0" applyNumberFormat="1" applyFont="1" applyFill="1" applyBorder="1"/>
    <xf numFmtId="172" fontId="18" fillId="21" borderId="51" xfId="0" applyNumberFormat="1" applyFont="1" applyFill="1" applyBorder="1"/>
    <xf numFmtId="174" fontId="18" fillId="20" borderId="52" xfId="0" applyNumberFormat="1" applyFont="1" applyFill="1" applyBorder="1"/>
    <xf numFmtId="0" fontId="18" fillId="20" borderId="53" xfId="0" applyFont="1" applyFill="1" applyBorder="1"/>
    <xf numFmtId="9" fontId="18" fillId="20" borderId="53" xfId="0" applyNumberFormat="1" applyFont="1" applyFill="1" applyBorder="1"/>
    <xf numFmtId="174" fontId="18" fillId="20" borderId="53" xfId="0" applyNumberFormat="1" applyFont="1" applyFill="1" applyBorder="1"/>
    <xf numFmtId="172" fontId="18" fillId="20" borderId="54" xfId="0" applyNumberFormat="1" applyFont="1" applyFill="1" applyBorder="1"/>
    <xf numFmtId="174" fontId="18" fillId="0" borderId="53" xfId="0" applyNumberFormat="1" applyFont="1" applyBorder="1"/>
    <xf numFmtId="172" fontId="18" fillId="0" borderId="53" xfId="0" applyNumberFormat="1" applyFont="1" applyBorder="1"/>
    <xf numFmtId="174" fontId="18" fillId="0" borderId="55" xfId="0" applyNumberFormat="1" applyFont="1" applyBorder="1"/>
    <xf numFmtId="173" fontId="18" fillId="0" borderId="54" xfId="0" applyNumberFormat="1" applyFont="1" applyBorder="1"/>
    <xf numFmtId="173" fontId="18" fillId="0" borderId="49" xfId="0" applyNumberFormat="1" applyFont="1" applyBorder="1"/>
    <xf numFmtId="173" fontId="18" fillId="0" borderId="56" xfId="0" applyNumberFormat="1" applyFont="1" applyBorder="1"/>
    <xf numFmtId="0" fontId="12" fillId="15" borderId="1" xfId="0" applyFont="1" applyFill="1" applyBorder="1" applyAlignment="1">
      <alignment horizontal="center"/>
    </xf>
    <xf numFmtId="0" fontId="12" fillId="15" borderId="13" xfId="0" applyFont="1" applyFill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9" fillId="0" borderId="0" xfId="0" applyFont="1"/>
    <xf numFmtId="0" fontId="27" fillId="0" borderId="0" xfId="0" applyFont="1" applyAlignment="1">
      <alignment horizontal="left" wrapText="1"/>
    </xf>
    <xf numFmtId="0" fontId="1" fillId="0" borderId="0" xfId="0" applyFont="1"/>
    <xf numFmtId="0" fontId="30" fillId="0" borderId="0" xfId="0" applyFont="1"/>
    <xf numFmtId="0" fontId="27" fillId="4" borderId="0" xfId="0" applyFont="1" applyFill="1" applyAlignment="1">
      <alignment horizontal="left"/>
    </xf>
    <xf numFmtId="0" fontId="28" fillId="4" borderId="0" xfId="0" applyFont="1" applyFill="1" applyAlignment="1">
      <alignment horizontal="left"/>
    </xf>
    <xf numFmtId="173" fontId="27" fillId="0" borderId="1" xfId="0" applyNumberFormat="1" applyFont="1" applyBorder="1" applyAlignment="1">
      <alignment horizontal="center" vertical="center" wrapText="1"/>
    </xf>
    <xf numFmtId="173" fontId="27" fillId="22" borderId="13" xfId="0" applyNumberFormat="1" applyFont="1" applyFill="1" applyBorder="1"/>
    <xf numFmtId="0" fontId="26" fillId="12" borderId="9" xfId="0" applyFont="1" applyFill="1" applyBorder="1" applyAlignment="1">
      <alignment vertical="top" wrapText="1"/>
    </xf>
    <xf numFmtId="0" fontId="26" fillId="12" borderId="10" xfId="0" applyFont="1" applyFill="1" applyBorder="1" applyAlignment="1">
      <alignment horizontal="center" vertical="top" wrapText="1"/>
    </xf>
    <xf numFmtId="0" fontId="26" fillId="12" borderId="11" xfId="0" applyFont="1" applyFill="1" applyBorder="1" applyAlignment="1">
      <alignment horizontal="center" vertical="top"/>
    </xf>
    <xf numFmtId="0" fontId="27" fillId="12" borderId="12" xfId="0" applyFont="1" applyFill="1" applyBorder="1" applyAlignment="1">
      <alignment vertical="center" wrapText="1"/>
    </xf>
    <xf numFmtId="173" fontId="26" fillId="10" borderId="16" xfId="0" applyNumberFormat="1" applyFont="1" applyFill="1" applyBorder="1"/>
    <xf numFmtId="0" fontId="26" fillId="4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175" fontId="27" fillId="0" borderId="0" xfId="0" applyNumberFormat="1" applyFont="1"/>
    <xf numFmtId="0" fontId="26" fillId="12" borderId="9" xfId="0" applyFont="1" applyFill="1" applyBorder="1"/>
    <xf numFmtId="0" fontId="26" fillId="12" borderId="11" xfId="0" applyFont="1" applyFill="1" applyBorder="1" applyAlignment="1">
      <alignment horizontal="center"/>
    </xf>
    <xf numFmtId="0" fontId="27" fillId="23" borderId="12" xfId="0" applyFont="1" applyFill="1" applyBorder="1"/>
    <xf numFmtId="174" fontId="27" fillId="23" borderId="13" xfId="0" applyNumberFormat="1" applyFont="1" applyFill="1" applyBorder="1"/>
    <xf numFmtId="0" fontId="27" fillId="23" borderId="14" xfId="0" applyFont="1" applyFill="1" applyBorder="1"/>
    <xf numFmtId="174" fontId="27" fillId="23" borderId="16" xfId="0" applyNumberFormat="1" applyFont="1" applyFill="1" applyBorder="1"/>
    <xf numFmtId="9" fontId="27" fillId="22" borderId="1" xfId="0" applyNumberFormat="1" applyFont="1" applyFill="1" applyBorder="1" applyAlignment="1">
      <alignment horizontal="center" vertical="center" wrapText="1"/>
    </xf>
    <xf numFmtId="174" fontId="33" fillId="4" borderId="2" xfId="0" applyNumberFormat="1" applyFont="1" applyFill="1" applyBorder="1"/>
    <xf numFmtId="0" fontId="26" fillId="12" borderId="0" xfId="0" applyFont="1" applyFill="1"/>
    <xf numFmtId="43" fontId="34" fillId="4" borderId="44" xfId="0" applyNumberFormat="1" applyFont="1" applyFill="1" applyBorder="1" applyAlignment="1">
      <alignment vertical="center"/>
    </xf>
    <xf numFmtId="174" fontId="34" fillId="4" borderId="57" xfId="0" applyNumberFormat="1" applyFont="1" applyFill="1" applyBorder="1" applyAlignment="1">
      <alignment vertical="center"/>
    </xf>
    <xf numFmtId="174" fontId="7" fillId="4" borderId="45" xfId="0" applyNumberFormat="1" applyFont="1" applyFill="1" applyBorder="1"/>
    <xf numFmtId="9" fontId="26" fillId="12" borderId="53" xfId="0" applyNumberFormat="1" applyFont="1" applyFill="1" applyBorder="1" applyAlignment="1">
      <alignment horizontal="center"/>
    </xf>
    <xf numFmtId="0" fontId="26" fillId="12" borderId="9" xfId="0" applyFont="1" applyFill="1" applyBorder="1" applyAlignment="1">
      <alignment vertical="center" wrapText="1"/>
    </xf>
    <xf numFmtId="0" fontId="26" fillId="12" borderId="10" xfId="0" applyFont="1" applyFill="1" applyBorder="1" applyAlignment="1">
      <alignment horizontal="center" vertical="center" wrapText="1"/>
    </xf>
    <xf numFmtId="0" fontId="26" fillId="12" borderId="11" xfId="0" applyFont="1" applyFill="1" applyBorder="1" applyAlignment="1">
      <alignment horizontal="center" vertical="center" wrapText="1"/>
    </xf>
    <xf numFmtId="0" fontId="26" fillId="12" borderId="23" xfId="0" applyFont="1" applyFill="1" applyBorder="1"/>
    <xf numFmtId="0" fontId="7" fillId="12" borderId="59" xfId="0" applyFont="1" applyFill="1" applyBorder="1" applyAlignment="1">
      <alignment horizontal="left"/>
    </xf>
    <xf numFmtId="0" fontId="1" fillId="12" borderId="55" xfId="0" applyFont="1" applyFill="1" applyBorder="1"/>
    <xf numFmtId="0" fontId="1" fillId="12" borderId="21" xfId="0" applyFont="1" applyFill="1" applyBorder="1"/>
    <xf numFmtId="0" fontId="31" fillId="12" borderId="40" xfId="0" applyFont="1" applyFill="1" applyBorder="1"/>
    <xf numFmtId="0" fontId="32" fillId="12" borderId="42" xfId="0" applyFont="1" applyFill="1" applyBorder="1"/>
    <xf numFmtId="9" fontId="27" fillId="17" borderId="1" xfId="0" applyNumberFormat="1" applyFont="1" applyFill="1" applyBorder="1" applyAlignment="1">
      <alignment horizontal="center" vertical="center" wrapText="1"/>
    </xf>
    <xf numFmtId="43" fontId="27" fillId="17" borderId="13" xfId="0" applyNumberFormat="1" applyFont="1" applyFill="1" applyBorder="1" applyAlignment="1">
      <alignment vertical="center"/>
    </xf>
    <xf numFmtId="43" fontId="27" fillId="17" borderId="58" xfId="0" applyNumberFormat="1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35" fillId="0" borderId="0" xfId="0" applyFont="1"/>
    <xf numFmtId="0" fontId="0" fillId="19" borderId="5" xfId="0" applyFill="1" applyBorder="1"/>
    <xf numFmtId="0" fontId="12" fillId="14" borderId="22" xfId="0" applyFont="1" applyFill="1" applyBorder="1"/>
    <xf numFmtId="0" fontId="0" fillId="14" borderId="20" xfId="0" applyFill="1" applyBorder="1"/>
    <xf numFmtId="176" fontId="0" fillId="0" borderId="0" xfId="1" applyNumberFormat="1" applyFont="1"/>
    <xf numFmtId="0" fontId="12" fillId="14" borderId="5" xfId="0" applyFont="1" applyFill="1" applyBorder="1"/>
    <xf numFmtId="0" fontId="0" fillId="14" borderId="0" xfId="0" applyFill="1"/>
    <xf numFmtId="0" fontId="12" fillId="14" borderId="23" xfId="0" applyFont="1" applyFill="1" applyBorder="1"/>
    <xf numFmtId="0" fontId="0" fillId="14" borderId="24" xfId="0" applyFill="1" applyBorder="1"/>
    <xf numFmtId="0" fontId="0" fillId="19" borderId="5" xfId="0" quotePrefix="1" applyFill="1" applyBorder="1"/>
    <xf numFmtId="0" fontId="12" fillId="14" borderId="7" xfId="0" applyFont="1" applyFill="1" applyBorder="1"/>
    <xf numFmtId="0" fontId="0" fillId="14" borderId="21" xfId="0" applyFill="1" applyBorder="1"/>
    <xf numFmtId="0" fontId="12" fillId="10" borderId="3" xfId="0" applyFont="1" applyFill="1" applyBorder="1"/>
    <xf numFmtId="0" fontId="36" fillId="10" borderId="29" xfId="0" applyFont="1" applyFill="1" applyBorder="1" applyAlignment="1">
      <alignment horizontal="center"/>
    </xf>
    <xf numFmtId="0" fontId="36" fillId="10" borderId="4" xfId="0" applyFont="1" applyFill="1" applyBorder="1" applyAlignment="1">
      <alignment horizontal="center"/>
    </xf>
    <xf numFmtId="0" fontId="13" fillId="19" borderId="3" xfId="0" applyFont="1" applyFill="1" applyBorder="1"/>
    <xf numFmtId="0" fontId="37" fillId="14" borderId="3" xfId="0" applyFont="1" applyFill="1" applyBorder="1"/>
    <xf numFmtId="177" fontId="0" fillId="14" borderId="29" xfId="3" applyNumberFormat="1" applyFont="1" applyFill="1" applyBorder="1" applyAlignment="1">
      <alignment horizontal="right"/>
    </xf>
    <xf numFmtId="10" fontId="0" fillId="14" borderId="4" xfId="0" applyNumberFormat="1" applyFill="1" applyBorder="1" applyAlignment="1">
      <alignment horizontal="right"/>
    </xf>
    <xf numFmtId="0" fontId="0" fillId="4" borderId="59" xfId="0" applyFill="1" applyBorder="1"/>
    <xf numFmtId="0" fontId="0" fillId="4" borderId="60" xfId="0" applyFill="1" applyBorder="1"/>
    <xf numFmtId="0" fontId="37" fillId="11" borderId="61" xfId="0" applyFont="1" applyFill="1" applyBorder="1"/>
    <xf numFmtId="3" fontId="0" fillId="11" borderId="49" xfId="0" applyNumberFormat="1" applyFill="1" applyBorder="1" applyAlignment="1">
      <alignment horizontal="right"/>
    </xf>
    <xf numFmtId="10" fontId="0" fillId="11" borderId="56" xfId="0" applyNumberFormat="1" applyFill="1" applyBorder="1" applyAlignment="1">
      <alignment horizontal="right"/>
    </xf>
    <xf numFmtId="0" fontId="36" fillId="10" borderId="7" xfId="0" applyFont="1" applyFill="1" applyBorder="1" applyAlignment="1">
      <alignment horizontal="center"/>
    </xf>
    <xf numFmtId="3" fontId="0" fillId="10" borderId="21" xfId="0" applyNumberFormat="1" applyFill="1" applyBorder="1" applyAlignment="1">
      <alignment horizontal="right"/>
    </xf>
    <xf numFmtId="9" fontId="0" fillId="10" borderId="8" xfId="3" applyFont="1" applyFill="1" applyBorder="1" applyAlignment="1">
      <alignment horizontal="right"/>
    </xf>
    <xf numFmtId="0" fontId="0" fillId="19" borderId="7" xfId="0" applyFill="1" applyBorder="1"/>
    <xf numFmtId="3" fontId="0" fillId="19" borderId="21" xfId="0" applyNumberFormat="1" applyFill="1" applyBorder="1"/>
    <xf numFmtId="0" fontId="0" fillId="12" borderId="5" xfId="0" applyFill="1" applyBorder="1"/>
    <xf numFmtId="0" fontId="0" fillId="12" borderId="0" xfId="0" applyFill="1"/>
    <xf numFmtId="0" fontId="0" fillId="12" borderId="6" xfId="0" applyFill="1" applyBorder="1"/>
    <xf numFmtId="0" fontId="12" fillId="12" borderId="0" xfId="0" applyFont="1" applyFill="1"/>
    <xf numFmtId="0" fontId="0" fillId="10" borderId="3" xfId="0" applyFill="1" applyBorder="1"/>
    <xf numFmtId="176" fontId="38" fillId="4" borderId="14" xfId="1" applyNumberFormat="1" applyFont="1" applyFill="1" applyBorder="1"/>
    <xf numFmtId="176" fontId="38" fillId="4" borderId="15" xfId="1" applyNumberFormat="1" applyFont="1" applyFill="1" applyBorder="1"/>
    <xf numFmtId="176" fontId="38" fillId="4" borderId="16" xfId="1" applyNumberFormat="1" applyFont="1" applyFill="1" applyBorder="1"/>
    <xf numFmtId="0" fontId="0" fillId="14" borderId="12" xfId="0" applyFill="1" applyBorder="1"/>
    <xf numFmtId="164" fontId="0" fillId="14" borderId="62" xfId="1" applyFont="1" applyFill="1" applyBorder="1"/>
    <xf numFmtId="164" fontId="0" fillId="14" borderId="63" xfId="1" applyFont="1" applyFill="1" applyBorder="1"/>
    <xf numFmtId="0" fontId="0" fillId="11" borderId="14" xfId="0" applyFill="1" applyBorder="1"/>
    <xf numFmtId="164" fontId="0" fillId="11" borderId="15" xfId="1" applyFont="1" applyFill="1" applyBorder="1"/>
    <xf numFmtId="164" fontId="0" fillId="11" borderId="16" xfId="1" applyFont="1" applyFill="1" applyBorder="1"/>
    <xf numFmtId="0" fontId="0" fillId="12" borderId="7" xfId="0" applyFill="1" applyBorder="1"/>
    <xf numFmtId="0" fontId="36" fillId="19" borderId="40" xfId="0" applyFont="1" applyFill="1" applyBorder="1"/>
    <xf numFmtId="0" fontId="36" fillId="19" borderId="41" xfId="0" applyFont="1" applyFill="1" applyBorder="1"/>
    <xf numFmtId="0" fontId="36" fillId="19" borderId="42" xfId="0" applyFont="1" applyFill="1" applyBorder="1"/>
    <xf numFmtId="0" fontId="23" fillId="12" borderId="0" xfId="0" applyFont="1" applyFill="1"/>
    <xf numFmtId="0" fontId="12" fillId="14" borderId="40" xfId="0" applyFont="1" applyFill="1" applyBorder="1"/>
    <xf numFmtId="0" fontId="36" fillId="14" borderId="12" xfId="0" applyFont="1" applyFill="1" applyBorder="1"/>
    <xf numFmtId="164" fontId="3" fillId="14" borderId="1" xfId="1" applyFont="1" applyFill="1" applyBorder="1"/>
    <xf numFmtId="164" fontId="3" fillId="14" borderId="13" xfId="1" applyFont="1" applyFill="1" applyBorder="1"/>
    <xf numFmtId="2" fontId="39" fillId="14" borderId="1" xfId="0" applyNumberFormat="1" applyFont="1" applyFill="1" applyBorder="1" applyAlignment="1">
      <alignment horizontal="center"/>
    </xf>
    <xf numFmtId="2" fontId="39" fillId="14" borderId="13" xfId="0" applyNumberFormat="1" applyFont="1" applyFill="1" applyBorder="1" applyAlignment="1">
      <alignment horizontal="center"/>
    </xf>
    <xf numFmtId="0" fontId="0" fillId="3" borderId="12" xfId="0" applyFill="1" applyBorder="1"/>
    <xf numFmtId="164" fontId="0" fillId="3" borderId="1" xfId="1" applyFont="1" applyFill="1" applyBorder="1"/>
    <xf numFmtId="164" fontId="0" fillId="3" borderId="13" xfId="1" applyFont="1" applyFill="1" applyBorder="1"/>
    <xf numFmtId="164" fontId="0" fillId="11" borderId="1" xfId="1" applyFont="1" applyFill="1" applyBorder="1"/>
    <xf numFmtId="164" fontId="0" fillId="11" borderId="13" xfId="1" applyFont="1" applyFill="1" applyBorder="1"/>
    <xf numFmtId="0" fontId="36" fillId="19" borderId="7" xfId="0" applyFont="1" applyFill="1" applyBorder="1"/>
    <xf numFmtId="0" fontId="36" fillId="19" borderId="21" xfId="0" applyFont="1" applyFill="1" applyBorder="1"/>
    <xf numFmtId="0" fontId="36" fillId="19" borderId="8" xfId="0" applyFont="1" applyFill="1" applyBorder="1"/>
    <xf numFmtId="0" fontId="12" fillId="14" borderId="2" xfId="0" applyFont="1" applyFill="1" applyBorder="1"/>
    <xf numFmtId="0" fontId="0" fillId="10" borderId="30" xfId="0" applyFill="1" applyBorder="1"/>
    <xf numFmtId="164" fontId="3" fillId="14" borderId="66" xfId="1" applyFont="1" applyFill="1" applyBorder="1"/>
    <xf numFmtId="0" fontId="0" fillId="3" borderId="57" xfId="0" applyFill="1" applyBorder="1"/>
    <xf numFmtId="164" fontId="0" fillId="3" borderId="66" xfId="1" applyFont="1" applyFill="1" applyBorder="1"/>
    <xf numFmtId="0" fontId="0" fillId="11" borderId="57" xfId="0" applyFill="1" applyBorder="1"/>
    <xf numFmtId="164" fontId="0" fillId="11" borderId="66" xfId="1" applyFont="1" applyFill="1" applyBorder="1"/>
    <xf numFmtId="0" fontId="36" fillId="19" borderId="32" xfId="0" applyFont="1" applyFill="1" applyBorder="1"/>
    <xf numFmtId="0" fontId="12" fillId="11" borderId="12" xfId="0" applyFont="1" applyFill="1" applyBorder="1"/>
    <xf numFmtId="0" fontId="2" fillId="9" borderId="9" xfId="0" applyFont="1" applyFill="1" applyBorder="1"/>
    <xf numFmtId="0" fontId="0" fillId="10" borderId="57" xfId="0" applyFill="1" applyBorder="1"/>
    <xf numFmtId="0" fontId="0" fillId="10" borderId="12" xfId="0" applyFill="1" applyBorder="1"/>
    <xf numFmtId="176" fontId="0" fillId="4" borderId="11" xfId="1" applyNumberFormat="1" applyFont="1" applyFill="1" applyBorder="1"/>
    <xf numFmtId="176" fontId="0" fillId="4" borderId="67" xfId="1" applyNumberFormat="1" applyFont="1" applyFill="1" applyBorder="1"/>
    <xf numFmtId="176" fontId="0" fillId="4" borderId="13" xfId="1" applyNumberFormat="1" applyFont="1" applyFill="1" applyBorder="1"/>
    <xf numFmtId="176" fontId="0" fillId="17" borderId="67" xfId="0" applyNumberFormat="1" applyFill="1" applyBorder="1"/>
    <xf numFmtId="0" fontId="0" fillId="17" borderId="13" xfId="0" applyFill="1" applyBorder="1"/>
    <xf numFmtId="177" fontId="0" fillId="17" borderId="68" xfId="0" applyNumberFormat="1" applyFill="1" applyBorder="1"/>
    <xf numFmtId="0" fontId="41" fillId="0" borderId="0" xfId="0" applyFont="1"/>
    <xf numFmtId="0" fontId="42" fillId="0" borderId="0" xfId="0" applyFont="1"/>
    <xf numFmtId="178" fontId="12" fillId="4" borderId="2" xfId="0" applyNumberFormat="1" applyFont="1" applyFill="1" applyBorder="1"/>
    <xf numFmtId="178" fontId="12" fillId="4" borderId="42" xfId="0" applyNumberFormat="1" applyFont="1" applyFill="1" applyBorder="1"/>
    <xf numFmtId="0" fontId="45" fillId="12" borderId="0" xfId="0" applyFont="1" applyFill="1"/>
    <xf numFmtId="0" fontId="18" fillId="10" borderId="69" xfId="0" applyFont="1" applyFill="1" applyBorder="1"/>
    <xf numFmtId="0" fontId="19" fillId="0" borderId="46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10" fontId="18" fillId="0" borderId="70" xfId="0" applyNumberFormat="1" applyFont="1" applyBorder="1"/>
    <xf numFmtId="10" fontId="18" fillId="0" borderId="46" xfId="0" applyNumberFormat="1" applyFont="1" applyBorder="1"/>
    <xf numFmtId="10" fontId="18" fillId="0" borderId="47" xfId="0" applyNumberFormat="1" applyFont="1" applyBorder="1"/>
    <xf numFmtId="0" fontId="0" fillId="0" borderId="49" xfId="0" applyBorder="1" applyAlignment="1">
      <alignment wrapText="1"/>
    </xf>
    <xf numFmtId="10" fontId="18" fillId="0" borderId="54" xfId="0" applyNumberFormat="1" applyFont="1" applyBorder="1"/>
    <xf numFmtId="10" fontId="18" fillId="0" borderId="49" xfId="0" applyNumberFormat="1" applyFont="1" applyBorder="1"/>
    <xf numFmtId="10" fontId="18" fillId="0" borderId="56" xfId="0" applyNumberFormat="1" applyFont="1" applyBorder="1"/>
    <xf numFmtId="0" fontId="12" fillId="15" borderId="17" xfId="0" applyFont="1" applyFill="1" applyBorder="1" applyAlignment="1">
      <alignment horizontal="center"/>
    </xf>
    <xf numFmtId="0" fontId="12" fillId="15" borderId="1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7" fontId="2" fillId="17" borderId="22" xfId="0" applyNumberFormat="1" applyFont="1" applyFill="1" applyBorder="1" applyAlignment="1">
      <alignment horizontal="center"/>
    </xf>
    <xf numFmtId="167" fontId="2" fillId="17" borderId="20" xfId="0" applyNumberFormat="1" applyFont="1" applyFill="1" applyBorder="1" applyAlignment="1">
      <alignment horizontal="center"/>
    </xf>
    <xf numFmtId="167" fontId="2" fillId="17" borderId="19" xfId="0" applyNumberFormat="1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center"/>
    </xf>
    <xf numFmtId="0" fontId="2" fillId="13" borderId="20" xfId="0" applyFont="1" applyFill="1" applyBorder="1" applyAlignment="1">
      <alignment horizontal="center"/>
    </xf>
    <xf numFmtId="0" fontId="2" fillId="13" borderId="19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/>
    </xf>
    <xf numFmtId="0" fontId="27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6" fillId="10" borderId="59" xfId="0" applyFont="1" applyFill="1" applyBorder="1" applyAlignment="1">
      <alignment horizontal="center"/>
    </xf>
    <xf numFmtId="0" fontId="26" fillId="10" borderId="65" xfId="0" applyFont="1" applyFill="1" applyBorder="1" applyAlignment="1">
      <alignment horizontal="center"/>
    </xf>
    <xf numFmtId="0" fontId="37" fillId="10" borderId="64" xfId="0" applyFont="1" applyFill="1" applyBorder="1" applyAlignment="1">
      <alignment horizontal="center"/>
    </xf>
    <xf numFmtId="0" fontId="37" fillId="10" borderId="10" xfId="0" applyFont="1" applyFill="1" applyBorder="1" applyAlignment="1">
      <alignment horizontal="center"/>
    </xf>
    <xf numFmtId="0" fontId="37" fillId="10" borderId="11" xfId="0" applyFont="1" applyFill="1" applyBorder="1" applyAlignment="1">
      <alignment horizontal="center"/>
    </xf>
    <xf numFmtId="0" fontId="46" fillId="24" borderId="3" xfId="0" applyFont="1" applyFill="1" applyBorder="1" applyAlignment="1">
      <alignment horizontal="center"/>
    </xf>
    <xf numFmtId="0" fontId="46" fillId="24" borderId="29" xfId="0" applyFont="1" applyFill="1" applyBorder="1" applyAlignment="1">
      <alignment horizontal="center"/>
    </xf>
    <xf numFmtId="0" fontId="46" fillId="24" borderId="4" xfId="0" applyFont="1" applyFill="1" applyBorder="1" applyAlignment="1">
      <alignment horizontal="center"/>
    </xf>
    <xf numFmtId="0" fontId="46" fillId="25" borderId="3" xfId="0" applyFont="1" applyFill="1" applyBorder="1" applyAlignment="1">
      <alignment horizontal="center"/>
    </xf>
    <xf numFmtId="0" fontId="46" fillId="25" borderId="29" xfId="0" applyFont="1" applyFill="1" applyBorder="1" applyAlignment="1">
      <alignment horizontal="center"/>
    </xf>
    <xf numFmtId="0" fontId="46" fillId="25" borderId="4" xfId="0" applyFont="1" applyFill="1" applyBorder="1" applyAlignment="1">
      <alignment horizontal="center"/>
    </xf>
    <xf numFmtId="0" fontId="37" fillId="10" borderId="9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rgbClr val="7030A0"/>
                </a:solidFill>
              </a:rPr>
              <a:t>Investors Purchase PARTICIPATING Prefered Shares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ConvPartPref!$B$66</c:f>
              <c:strCache>
                <c:ptCount val="1"/>
                <c:pt idx="0">
                  <c:v>Total return to investors (pref + conversion)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ConvPartPref!$C$63:$I$63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ConvPartPref!$C$66:$I$66</c:f>
              <c:numCache>
                <c:formatCode>_-* #,##0.00_-;\-* #,##0.00_-;_-* "-"??_-;_-@_-</c:formatCode>
                <c:ptCount val="7"/>
                <c:pt idx="0">
                  <c:v>3444444.4444444445</c:v>
                </c:pt>
                <c:pt idx="1">
                  <c:v>4555555.555555556</c:v>
                </c:pt>
                <c:pt idx="2">
                  <c:v>5666666.666666666</c:v>
                </c:pt>
                <c:pt idx="3">
                  <c:v>6777777.777777778</c:v>
                </c:pt>
                <c:pt idx="4">
                  <c:v>13444444.444444444</c:v>
                </c:pt>
                <c:pt idx="5">
                  <c:v>24555555.555555556</c:v>
                </c:pt>
                <c:pt idx="6">
                  <c:v>35666666.666666664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4-7C43-8381-78CB0FF1BC31}"/>
            </c:ext>
          </c:extLst>
        </c:ser>
        <c:ser>
          <c:idx val="1"/>
          <c:order val="1"/>
          <c:tx>
            <c:strRef>
              <c:f>ConvPartPref!$B$67</c:f>
              <c:strCache>
                <c:ptCount val="1"/>
                <c:pt idx="0">
                  <c:v>Return to founders and employees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ConvPartPref!$C$63:$I$63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ConvPartPref!$C$67:$I$67</c:f>
              <c:numCache>
                <c:formatCode>_-* #,##0.00_-;\-* #,##0.00_-;_-* "-"??_-;_-@_-</c:formatCode>
                <c:ptCount val="7"/>
                <c:pt idx="0">
                  <c:v>1555555.5555555555</c:v>
                </c:pt>
                <c:pt idx="1">
                  <c:v>5444444.444444444</c:v>
                </c:pt>
                <c:pt idx="2">
                  <c:v>9333333.333333334</c:v>
                </c:pt>
                <c:pt idx="3">
                  <c:v>13222222.222222222</c:v>
                </c:pt>
                <c:pt idx="4">
                  <c:v>36555555.555555552</c:v>
                </c:pt>
                <c:pt idx="5">
                  <c:v>75444444.444444448</c:v>
                </c:pt>
                <c:pt idx="6">
                  <c:v>114333333.33333334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4-7C43-8381-78CB0FF1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299919"/>
        <c:axId val="300555855"/>
      </c:barChart>
      <c:catAx>
        <c:axId val="240299919"/>
        <c:scaling>
          <c:orientation val="minMax"/>
        </c:scaling>
        <c:delete val="0"/>
        <c:axPos val="l"/>
        <c:numFmt formatCode="&quot;£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555855"/>
        <c:crosses val="autoZero"/>
        <c:auto val="1"/>
        <c:lblAlgn val="ctr"/>
        <c:lblOffset val="100"/>
        <c:noMultiLvlLbl val="0"/>
      </c:catAx>
      <c:valAx>
        <c:axId val="300555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29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rgbClr val="7030A0"/>
                </a:solidFill>
              </a:rPr>
              <a:t>Investor Purchases CONVERTIBLE Preference Shares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ConvPartPref!$B$47</c:f>
              <c:strCache>
                <c:ptCount val="1"/>
                <c:pt idx="0">
                  <c:v>Return to investors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ConvPartPref!$C$43:$I$43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ConvPartPref!$C$47:$I$47</c:f>
              <c:numCache>
                <c:formatCode>_-* #,##0.00_-;\-* #,##0.00_-;_-* "-"??_-;_-@_-</c:formatCode>
                <c:ptCount val="7"/>
                <c:pt idx="0">
                  <c:v>3000000</c:v>
                </c:pt>
                <c:pt idx="1">
                  <c:v>3000000</c:v>
                </c:pt>
                <c:pt idx="2">
                  <c:v>3333333.333333333</c:v>
                </c:pt>
                <c:pt idx="3">
                  <c:v>4444444.444444444</c:v>
                </c:pt>
                <c:pt idx="4">
                  <c:v>11111111.11111111</c:v>
                </c:pt>
                <c:pt idx="5">
                  <c:v>22222222.22222222</c:v>
                </c:pt>
                <c:pt idx="6">
                  <c:v>33333333.333333332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B-704A-9502-D8317DA5905D}"/>
            </c:ext>
          </c:extLst>
        </c:ser>
        <c:ser>
          <c:idx val="1"/>
          <c:order val="1"/>
          <c:tx>
            <c:strRef>
              <c:f>ConvPartPref!$B$48</c:f>
              <c:strCache>
                <c:ptCount val="1"/>
                <c:pt idx="0">
                  <c:v>Return to founders and employees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ConvPartPref!$C$43:$I$43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ConvPartPref!$C$48:$I$48</c:f>
              <c:numCache>
                <c:formatCode>_-* #,##0.00_-;\-* #,##0.00_-;_-* "-"??_-;_-@_-</c:formatCode>
                <c:ptCount val="7"/>
                <c:pt idx="0">
                  <c:v>2000000</c:v>
                </c:pt>
                <c:pt idx="1">
                  <c:v>7000000</c:v>
                </c:pt>
                <c:pt idx="2">
                  <c:v>11666666.666666668</c:v>
                </c:pt>
                <c:pt idx="3">
                  <c:v>15555555.555555556</c:v>
                </c:pt>
                <c:pt idx="4">
                  <c:v>38888888.888888888</c:v>
                </c:pt>
                <c:pt idx="5">
                  <c:v>77777777.777777776</c:v>
                </c:pt>
                <c:pt idx="6">
                  <c:v>116666666.66666667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B-704A-9502-D8317DA59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303359"/>
        <c:axId val="299834847"/>
      </c:barChart>
      <c:catAx>
        <c:axId val="300303359"/>
        <c:scaling>
          <c:orientation val="minMax"/>
        </c:scaling>
        <c:delete val="0"/>
        <c:axPos val="l"/>
        <c:numFmt formatCode="&quot;£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834847"/>
        <c:crosses val="autoZero"/>
        <c:auto val="1"/>
        <c:lblAlgn val="ctr"/>
        <c:lblOffset val="100"/>
        <c:noMultiLvlLbl val="0"/>
      </c:catAx>
      <c:valAx>
        <c:axId val="29983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0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Investor Purchases ORDINARY Shares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ConvPartPref!$B$28</c:f>
              <c:strCache>
                <c:ptCount val="1"/>
                <c:pt idx="0">
                  <c:v>Exit Return to Investors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ConvPartPref!$C$27:$I$27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ConvPartPref!$C$28:$I$28</c:f>
              <c:numCache>
                <c:formatCode>_-* #,##0.00_-;\-* #,##0.00_-;_-* "-"??_-;_-@_-</c:formatCode>
                <c:ptCount val="7"/>
                <c:pt idx="0">
                  <c:v>1111111.111111111</c:v>
                </c:pt>
                <c:pt idx="1">
                  <c:v>2222222.222222222</c:v>
                </c:pt>
                <c:pt idx="2">
                  <c:v>3333333.333333333</c:v>
                </c:pt>
                <c:pt idx="3">
                  <c:v>4444444.444444444</c:v>
                </c:pt>
                <c:pt idx="4">
                  <c:v>11111111.11111111</c:v>
                </c:pt>
                <c:pt idx="5">
                  <c:v>22222222.22222222</c:v>
                </c:pt>
                <c:pt idx="6">
                  <c:v>33333333.333333332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1-D24C-A591-5B71E870003E}"/>
            </c:ext>
          </c:extLst>
        </c:ser>
        <c:ser>
          <c:idx val="1"/>
          <c:order val="1"/>
          <c:tx>
            <c:strRef>
              <c:f>ConvPartPref!$B$29</c:f>
              <c:strCache>
                <c:ptCount val="1"/>
                <c:pt idx="0">
                  <c:v>Exit Return to Founders and Employees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ConvPartPref!$C$27:$I$27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ConvPartPref!$C$29:$I$29</c:f>
              <c:numCache>
                <c:formatCode>_-* #,##0.00_-;\-* #,##0.00_-;_-* "-"??_-;_-@_-</c:formatCode>
                <c:ptCount val="7"/>
                <c:pt idx="0">
                  <c:v>3888888.888888889</c:v>
                </c:pt>
                <c:pt idx="1">
                  <c:v>7777777.777777778</c:v>
                </c:pt>
                <c:pt idx="2">
                  <c:v>11666666.666666666</c:v>
                </c:pt>
                <c:pt idx="3">
                  <c:v>15555555.555555556</c:v>
                </c:pt>
                <c:pt idx="4">
                  <c:v>38888888.888888888</c:v>
                </c:pt>
                <c:pt idx="5">
                  <c:v>77777777.777777776</c:v>
                </c:pt>
                <c:pt idx="6">
                  <c:v>116666666.66666667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61-D24C-A591-5B71E870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309663"/>
        <c:axId val="217418367"/>
      </c:barChart>
      <c:catAx>
        <c:axId val="673309663"/>
        <c:scaling>
          <c:orientation val="minMax"/>
        </c:scaling>
        <c:delete val="0"/>
        <c:axPos val="l"/>
        <c:numFmt formatCode="&quot;£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418367"/>
        <c:crosses val="autoZero"/>
        <c:auto val="1"/>
        <c:lblAlgn val="ctr"/>
        <c:lblOffset val="100"/>
        <c:noMultiLvlLbl val="0"/>
      </c:catAx>
      <c:valAx>
        <c:axId val="21741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09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7030A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800100</xdr:colOff>
      <xdr:row>50</xdr:row>
      <xdr:rowOff>177800</xdr:rowOff>
    </xdr:from>
    <xdr:to>
      <xdr:col>18</xdr:col>
      <xdr:colOff>50800</xdr:colOff>
      <xdr:row>68</xdr:row>
      <xdr:rowOff>25400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A69A4D7-21FF-1603-7AF1-80F2E6D72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12700</xdr:colOff>
      <xdr:row>32</xdr:row>
      <xdr:rowOff>12700</xdr:rowOff>
    </xdr:from>
    <xdr:to>
      <xdr:col>17</xdr:col>
      <xdr:colOff>812800</xdr:colOff>
      <xdr:row>48</xdr:row>
      <xdr:rowOff>177800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1DEFE57-F708-9418-4156-ED11E7EF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812800</xdr:colOff>
      <xdr:row>16</xdr:row>
      <xdr:rowOff>25400</xdr:rowOff>
    </xdr:from>
    <xdr:to>
      <xdr:col>18</xdr:col>
      <xdr:colOff>25400</xdr:colOff>
      <xdr:row>30</xdr:row>
      <xdr:rowOff>25400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61D4585-9440-2900-7C29-DD33BE706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vcmethod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0728-0DD9-4FEF-802E-AE315BA4B765}">
  <sheetPr>
    <pageSetUpPr fitToPage="1"/>
  </sheetPr>
  <dimension ref="A1:M31"/>
  <sheetViews>
    <sheetView zoomScale="120" zoomScaleNormal="120" workbookViewId="0">
      <selection activeCell="J5" sqref="J5"/>
    </sheetView>
  </sheetViews>
  <sheetFormatPr baseColWidth="10" defaultColWidth="8.83203125" defaultRowHeight="15" x14ac:dyDescent="0.2"/>
  <cols>
    <col min="1" max="1" width="46" bestFit="1" customWidth="1"/>
    <col min="2" max="3" width="17.5" customWidth="1"/>
    <col min="4" max="4" width="17.1640625" customWidth="1"/>
    <col min="5" max="5" width="16.1640625" customWidth="1"/>
    <col min="6" max="6" width="13.33203125" bestFit="1" customWidth="1"/>
    <col min="7" max="7" width="4.83203125" customWidth="1"/>
    <col min="8" max="8" width="8.83203125" bestFit="1" customWidth="1"/>
    <col min="9" max="9" width="8" customWidth="1"/>
    <col min="10" max="10" width="9.1640625" bestFit="1" customWidth="1"/>
    <col min="11" max="11" width="9.1640625" customWidth="1"/>
    <col min="12" max="13" width="11.83203125" customWidth="1"/>
  </cols>
  <sheetData>
    <row r="1" spans="1:13" ht="20" thickBot="1" x14ac:dyDescent="0.3">
      <c r="A1" s="112" t="s">
        <v>58</v>
      </c>
      <c r="L1" s="357" t="s">
        <v>127</v>
      </c>
      <c r="M1" s="358"/>
    </row>
    <row r="2" spans="1:13" x14ac:dyDescent="0.2">
      <c r="A2" s="333" t="s">
        <v>28</v>
      </c>
      <c r="B2" s="21" t="s">
        <v>29</v>
      </c>
      <c r="C2" s="21" t="s">
        <v>30</v>
      </c>
      <c r="D2" s="21" t="s">
        <v>31</v>
      </c>
      <c r="E2" s="21" t="s">
        <v>32</v>
      </c>
      <c r="F2" s="22" t="s">
        <v>33</v>
      </c>
      <c r="H2" s="23" t="s">
        <v>41</v>
      </c>
      <c r="I2" s="24" t="s">
        <v>42</v>
      </c>
      <c r="J2" s="24" t="s">
        <v>39</v>
      </c>
      <c r="K2" s="24" t="s">
        <v>40</v>
      </c>
      <c r="L2" s="215" t="s">
        <v>39</v>
      </c>
      <c r="M2" s="216" t="s">
        <v>40</v>
      </c>
    </row>
    <row r="3" spans="1:13" x14ac:dyDescent="0.2">
      <c r="A3" s="332" t="s">
        <v>34</v>
      </c>
      <c r="B3" s="100">
        <v>800000000</v>
      </c>
      <c r="C3" s="100">
        <v>70000000000</v>
      </c>
      <c r="D3" s="100">
        <v>350000000</v>
      </c>
      <c r="E3" s="100">
        <v>200000000</v>
      </c>
      <c r="F3" s="101">
        <v>200000000</v>
      </c>
      <c r="H3" s="108"/>
      <c r="I3" s="109"/>
      <c r="J3" s="109"/>
      <c r="K3" s="109"/>
      <c r="L3" s="109"/>
      <c r="M3" s="110"/>
    </row>
    <row r="4" spans="1:13" ht="16" x14ac:dyDescent="0.2">
      <c r="A4" s="96" t="s">
        <v>63</v>
      </c>
      <c r="B4" s="100">
        <v>2000000000</v>
      </c>
      <c r="C4" s="100">
        <v>100000000000</v>
      </c>
      <c r="D4" s="100">
        <v>700000000</v>
      </c>
      <c r="E4" s="100">
        <v>450000000</v>
      </c>
      <c r="F4" s="101">
        <v>800000000</v>
      </c>
      <c r="H4" s="108"/>
      <c r="I4" s="109"/>
      <c r="J4" s="109"/>
      <c r="K4" s="109"/>
      <c r="L4" s="109"/>
      <c r="M4" s="110"/>
    </row>
    <row r="5" spans="1:13" x14ac:dyDescent="0.2">
      <c r="A5" s="156" t="s">
        <v>36</v>
      </c>
      <c r="B5" s="102">
        <f>B4/B3</f>
        <v>2.5</v>
      </c>
      <c r="C5" s="102">
        <f>C4/C3</f>
        <v>1.4285714285714286</v>
      </c>
      <c r="D5" s="102">
        <f>D4/D3</f>
        <v>2</v>
      </c>
      <c r="E5" s="102">
        <f>E4/E3</f>
        <v>2.25</v>
      </c>
      <c r="F5" s="103">
        <f>F4/F3</f>
        <v>4</v>
      </c>
      <c r="H5" s="25">
        <f>MAX(B5:F5)</f>
        <v>4</v>
      </c>
      <c r="I5" s="13">
        <f>MIN(B5:F5)</f>
        <v>1.4285714285714286</v>
      </c>
      <c r="J5" s="12">
        <f>AVERAGE(B5:F5)</f>
        <v>2.4357142857142859</v>
      </c>
      <c r="K5" s="14">
        <f>MEDIAN(B5:F5)</f>
        <v>2.25</v>
      </c>
      <c r="L5" s="102"/>
      <c r="M5" s="103"/>
    </row>
    <row r="6" spans="1:13" x14ac:dyDescent="0.2">
      <c r="A6" s="96"/>
      <c r="B6" s="104"/>
      <c r="C6" s="104"/>
      <c r="D6" s="104"/>
      <c r="E6" s="104"/>
      <c r="F6" s="105"/>
      <c r="H6" s="108"/>
      <c r="I6" s="109"/>
      <c r="J6" s="109"/>
      <c r="K6" s="109"/>
      <c r="L6" s="109"/>
      <c r="M6" s="110"/>
    </row>
    <row r="7" spans="1:13" x14ac:dyDescent="0.2">
      <c r="A7" s="332" t="s">
        <v>35</v>
      </c>
      <c r="B7" s="100">
        <v>900000000</v>
      </c>
      <c r="C7" s="100">
        <v>50000000000</v>
      </c>
      <c r="D7" s="100">
        <v>100000000</v>
      </c>
      <c r="E7" s="100">
        <v>-22000000</v>
      </c>
      <c r="F7" s="101">
        <v>-30000000</v>
      </c>
      <c r="H7" s="108"/>
      <c r="I7" s="109"/>
      <c r="J7" s="109"/>
      <c r="K7" s="109"/>
      <c r="L7" s="109"/>
      <c r="M7" s="110"/>
    </row>
    <row r="8" spans="1:13" x14ac:dyDescent="0.2">
      <c r="A8" s="96" t="s">
        <v>37</v>
      </c>
      <c r="B8" s="100">
        <v>1500000000</v>
      </c>
      <c r="C8" s="100">
        <v>800000000000</v>
      </c>
      <c r="D8" s="100">
        <v>600000000</v>
      </c>
      <c r="E8" s="100">
        <v>400000000</v>
      </c>
      <c r="F8" s="101">
        <v>200000000</v>
      </c>
      <c r="H8" s="108"/>
      <c r="I8" s="109"/>
      <c r="J8" s="109"/>
      <c r="K8" s="109"/>
      <c r="L8" s="109"/>
      <c r="M8" s="110"/>
    </row>
    <row r="9" spans="1:13" ht="16" thickBot="1" x14ac:dyDescent="0.25">
      <c r="A9" s="157" t="s">
        <v>38</v>
      </c>
      <c r="B9" s="106">
        <f>B8/B7</f>
        <v>1.6666666666666667</v>
      </c>
      <c r="C9" s="106">
        <f>C8/C7</f>
        <v>16</v>
      </c>
      <c r="D9" s="106">
        <f>D8/D7</f>
        <v>6</v>
      </c>
      <c r="E9" s="106">
        <f>E8/E7</f>
        <v>-18.181818181818183</v>
      </c>
      <c r="F9" s="107">
        <f>F8/F7</f>
        <v>-6.666666666666667</v>
      </c>
      <c r="H9" s="26">
        <f>MAX(B9:F9)</f>
        <v>16</v>
      </c>
      <c r="I9" s="27">
        <f>MIN(B9:F9)</f>
        <v>-18.181818181818183</v>
      </c>
      <c r="J9" s="106">
        <f>AVERAGE(B9:F9)</f>
        <v>-0.2363636363636365</v>
      </c>
      <c r="K9" s="106">
        <f>MEDIAN(B9:G9)</f>
        <v>1.6666666666666667</v>
      </c>
      <c r="L9" s="28">
        <f>AVERAGE(B9:D9)</f>
        <v>7.8888888888888893</v>
      </c>
      <c r="M9" s="97">
        <f>MEDIAN(B9:D9)</f>
        <v>6</v>
      </c>
    </row>
    <row r="10" spans="1:13" ht="16" thickBot="1" x14ac:dyDescent="0.25"/>
    <row r="11" spans="1:13" x14ac:dyDescent="0.2">
      <c r="A11" s="152" t="s">
        <v>43</v>
      </c>
      <c r="B11" s="30" t="s">
        <v>62</v>
      </c>
    </row>
    <row r="12" spans="1:13" x14ac:dyDescent="0.2">
      <c r="A12" s="153" t="s">
        <v>59</v>
      </c>
      <c r="B12" s="20">
        <v>120000000</v>
      </c>
    </row>
    <row r="13" spans="1:13" x14ac:dyDescent="0.2">
      <c r="A13" s="153" t="s">
        <v>60</v>
      </c>
      <c r="B13" s="20">
        <v>53913600</v>
      </c>
    </row>
    <row r="14" spans="1:13" ht="4" customHeight="1" x14ac:dyDescent="0.2">
      <c r="A14" s="153"/>
      <c r="B14" s="15"/>
    </row>
    <row r="15" spans="1:13" x14ac:dyDescent="0.2">
      <c r="A15" s="154" t="s">
        <v>64</v>
      </c>
      <c r="B15" s="99"/>
    </row>
    <row r="16" spans="1:13" x14ac:dyDescent="0.2">
      <c r="A16" s="153" t="s">
        <v>44</v>
      </c>
      <c r="B16" s="16">
        <f>H5*B12</f>
        <v>480000000</v>
      </c>
    </row>
    <row r="17" spans="1:2" x14ac:dyDescent="0.2">
      <c r="A17" s="153" t="s">
        <v>45</v>
      </c>
      <c r="B17" s="16">
        <f>B13*H9</f>
        <v>862617600</v>
      </c>
    </row>
    <row r="18" spans="1:2" ht="4" customHeight="1" x14ac:dyDescent="0.2">
      <c r="A18" s="153"/>
      <c r="B18" s="15"/>
    </row>
    <row r="19" spans="1:2" x14ac:dyDescent="0.2">
      <c r="A19" s="154" t="s">
        <v>65</v>
      </c>
      <c r="B19" s="99"/>
    </row>
    <row r="20" spans="1:2" x14ac:dyDescent="0.2">
      <c r="A20" s="153" t="s">
        <v>44</v>
      </c>
      <c r="B20" s="17">
        <f>I5*B12</f>
        <v>171428571.42857143</v>
      </c>
    </row>
    <row r="21" spans="1:2" x14ac:dyDescent="0.2">
      <c r="A21" s="153" t="s">
        <v>45</v>
      </c>
      <c r="B21" s="17">
        <f>B13*I9</f>
        <v>-980247272.72727287</v>
      </c>
    </row>
    <row r="22" spans="1:2" ht="5" customHeight="1" x14ac:dyDescent="0.2">
      <c r="A22" s="153"/>
      <c r="B22" s="15"/>
    </row>
    <row r="23" spans="1:2" x14ac:dyDescent="0.2">
      <c r="A23" s="154" t="s">
        <v>66</v>
      </c>
      <c r="B23" s="99"/>
    </row>
    <row r="24" spans="1:2" x14ac:dyDescent="0.2">
      <c r="A24" s="153" t="s">
        <v>44</v>
      </c>
      <c r="B24" s="18">
        <f>B12*J5</f>
        <v>292285714.28571433</v>
      </c>
    </row>
    <row r="25" spans="1:2" x14ac:dyDescent="0.2">
      <c r="A25" s="153" t="s">
        <v>61</v>
      </c>
      <c r="B25" s="19">
        <f>B13*L9</f>
        <v>425318400</v>
      </c>
    </row>
    <row r="26" spans="1:2" ht="7" customHeight="1" x14ac:dyDescent="0.2">
      <c r="A26" s="153"/>
      <c r="B26" s="15"/>
    </row>
    <row r="27" spans="1:2" x14ac:dyDescent="0.2">
      <c r="A27" s="154" t="s">
        <v>67</v>
      </c>
      <c r="B27" s="99"/>
    </row>
    <row r="28" spans="1:2" x14ac:dyDescent="0.2">
      <c r="A28" s="153" t="s">
        <v>44</v>
      </c>
      <c r="B28" s="20">
        <f>B12*K5</f>
        <v>270000000</v>
      </c>
    </row>
    <row r="29" spans="1:2" ht="16" thickBot="1" x14ac:dyDescent="0.25">
      <c r="A29" s="155" t="s">
        <v>61</v>
      </c>
      <c r="B29" s="98">
        <f>B13*M9</f>
        <v>323481600</v>
      </c>
    </row>
    <row r="31" spans="1:2" ht="16" x14ac:dyDescent="0.2">
      <c r="A31" s="29" t="s">
        <v>123</v>
      </c>
    </row>
  </sheetData>
  <mergeCells count="1">
    <mergeCell ref="L1:M1"/>
  </mergeCells>
  <pageMargins left="0.7" right="0.7" top="0.75" bottom="0.75" header="0.3" footer="0.3"/>
  <pageSetup paperSize="9" scale="6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00BC-3CAC-4E24-9306-8D9F095B8FC5}">
  <dimension ref="A1:E33"/>
  <sheetViews>
    <sheetView topLeftCell="A10" zoomScale="170" zoomScaleNormal="170" workbookViewId="0">
      <selection activeCell="B18" sqref="B18"/>
    </sheetView>
  </sheetViews>
  <sheetFormatPr baseColWidth="10" defaultColWidth="8.83203125" defaultRowHeight="15" x14ac:dyDescent="0.2"/>
  <cols>
    <col min="1" max="1" width="35.1640625" bestFit="1" customWidth="1"/>
    <col min="2" max="2" width="17.5" bestFit="1" customWidth="1"/>
    <col min="3" max="3" width="14.5" bestFit="1" customWidth="1"/>
    <col min="4" max="4" width="18.5" bestFit="1" customWidth="1"/>
    <col min="5" max="5" width="17.5" bestFit="1" customWidth="1"/>
    <col min="6" max="6" width="13.5" bestFit="1" customWidth="1"/>
    <col min="11" max="11" width="11.1640625" customWidth="1"/>
    <col min="12" max="12" width="10.83203125" customWidth="1"/>
  </cols>
  <sheetData>
    <row r="1" spans="1:5" ht="16" thickBot="1" x14ac:dyDescent="0.25">
      <c r="A1" s="42" t="s">
        <v>77</v>
      </c>
      <c r="B1" s="1"/>
      <c r="C1" s="1"/>
      <c r="D1" s="1"/>
    </row>
    <row r="2" spans="1:5" x14ac:dyDescent="0.2">
      <c r="A2" s="48" t="s">
        <v>0</v>
      </c>
      <c r="B2" s="49" t="s">
        <v>56</v>
      </c>
      <c r="C2" s="49" t="s">
        <v>46</v>
      </c>
      <c r="D2" s="49" t="s">
        <v>125</v>
      </c>
      <c r="E2" s="50" t="s">
        <v>47</v>
      </c>
    </row>
    <row r="3" spans="1:5" x14ac:dyDescent="0.2">
      <c r="A3" s="51" t="s">
        <v>1</v>
      </c>
      <c r="B3" s="9">
        <v>7000000</v>
      </c>
      <c r="C3" s="9">
        <v>7000000</v>
      </c>
      <c r="D3" s="9">
        <v>7000000</v>
      </c>
      <c r="E3" s="43">
        <v>7000000</v>
      </c>
    </row>
    <row r="4" spans="1:5" x14ac:dyDescent="0.2">
      <c r="A4" s="52" t="s">
        <v>2</v>
      </c>
      <c r="B4" s="2">
        <v>5</v>
      </c>
      <c r="C4" s="2">
        <v>5</v>
      </c>
      <c r="D4" s="2">
        <v>5</v>
      </c>
      <c r="E4" s="44">
        <v>7</v>
      </c>
    </row>
    <row r="5" spans="1:5" x14ac:dyDescent="0.2">
      <c r="A5" s="52" t="s">
        <v>3</v>
      </c>
      <c r="B5" s="3">
        <v>0.2</v>
      </c>
      <c r="C5" s="3">
        <v>0.2</v>
      </c>
      <c r="D5" s="3">
        <v>0.6</v>
      </c>
      <c r="E5" s="45">
        <v>0.6</v>
      </c>
    </row>
    <row r="6" spans="1:5" ht="16" thickBot="1" x14ac:dyDescent="0.25">
      <c r="A6" s="53" t="s">
        <v>4</v>
      </c>
      <c r="B6" s="46">
        <f>(1+B5)^B4</f>
        <v>2.4883199999999999</v>
      </c>
      <c r="C6" s="46">
        <f>(1+C5)^C4</f>
        <v>2.4883199999999999</v>
      </c>
      <c r="D6" s="46">
        <f>(1+D5)^D4</f>
        <v>10.485760000000006</v>
      </c>
      <c r="E6" s="47">
        <f>(1+E5)^E4</f>
        <v>26.84354560000002</v>
      </c>
    </row>
    <row r="7" spans="1:5" ht="16" thickBot="1" x14ac:dyDescent="0.25">
      <c r="B7" s="1"/>
      <c r="C7" s="1"/>
      <c r="E7" s="1"/>
    </row>
    <row r="8" spans="1:5" x14ac:dyDescent="0.2">
      <c r="A8" s="48" t="s">
        <v>5</v>
      </c>
      <c r="B8" s="49" t="s">
        <v>56</v>
      </c>
      <c r="C8" s="49" t="s">
        <v>46</v>
      </c>
      <c r="D8" s="49" t="s">
        <v>125</v>
      </c>
      <c r="E8" s="50" t="s">
        <v>47</v>
      </c>
    </row>
    <row r="9" spans="1:5" x14ac:dyDescent="0.2">
      <c r="A9" s="52" t="s">
        <v>6</v>
      </c>
      <c r="B9" s="54">
        <v>8500000</v>
      </c>
      <c r="C9" s="54">
        <f t="shared" ref="C9:E10" si="0">B9</f>
        <v>8500000</v>
      </c>
      <c r="D9" s="54">
        <f t="shared" si="0"/>
        <v>8500000</v>
      </c>
      <c r="E9" s="55">
        <f t="shared" si="0"/>
        <v>8500000</v>
      </c>
    </row>
    <row r="10" spans="1:5" ht="16" thickBot="1" x14ac:dyDescent="0.25">
      <c r="A10" s="53" t="s">
        <v>7</v>
      </c>
      <c r="B10" s="56">
        <v>1500000</v>
      </c>
      <c r="C10" s="56">
        <f t="shared" si="0"/>
        <v>1500000</v>
      </c>
      <c r="D10" s="56">
        <f t="shared" si="0"/>
        <v>1500000</v>
      </c>
      <c r="E10" s="57">
        <f t="shared" si="0"/>
        <v>1500000</v>
      </c>
    </row>
    <row r="11" spans="1:5" ht="16" thickBot="1" x14ac:dyDescent="0.25">
      <c r="B11" s="1"/>
      <c r="C11" s="1"/>
      <c r="D11" s="1"/>
      <c r="E11" s="1"/>
    </row>
    <row r="12" spans="1:5" x14ac:dyDescent="0.2">
      <c r="A12" s="48" t="s">
        <v>128</v>
      </c>
      <c r="B12" s="49" t="s">
        <v>56</v>
      </c>
      <c r="C12" s="49" t="s">
        <v>46</v>
      </c>
      <c r="D12" s="49" t="s">
        <v>125</v>
      </c>
      <c r="E12" s="50" t="s">
        <v>47</v>
      </c>
    </row>
    <row r="13" spans="1:5" ht="16" thickBot="1" x14ac:dyDescent="0.25">
      <c r="A13" s="60" t="s">
        <v>8</v>
      </c>
      <c r="B13" s="58">
        <f>'Equity Comparables Method'!B16</f>
        <v>480000000</v>
      </c>
      <c r="C13" s="58">
        <f>'Equity Comparables Method'!B28</f>
        <v>270000000</v>
      </c>
      <c r="D13" s="58">
        <f>C13</f>
        <v>270000000</v>
      </c>
      <c r="E13" s="59">
        <f>D13</f>
        <v>270000000</v>
      </c>
    </row>
    <row r="14" spans="1:5" ht="16" thickBot="1" x14ac:dyDescent="0.25">
      <c r="B14" s="1"/>
      <c r="C14" s="1"/>
      <c r="D14" s="1"/>
      <c r="E14" s="1"/>
    </row>
    <row r="15" spans="1:5" x14ac:dyDescent="0.2">
      <c r="A15" s="65" t="s">
        <v>9</v>
      </c>
      <c r="B15" s="49" t="s">
        <v>56</v>
      </c>
      <c r="C15" s="49" t="s">
        <v>46</v>
      </c>
      <c r="D15" s="49" t="s">
        <v>125</v>
      </c>
      <c r="E15" s="50" t="s">
        <v>47</v>
      </c>
    </row>
    <row r="16" spans="1:5" x14ac:dyDescent="0.2">
      <c r="A16" s="51" t="s">
        <v>10</v>
      </c>
      <c r="B16" s="10">
        <f>B13/B6</f>
        <v>192901234.56790125</v>
      </c>
      <c r="C16" s="10">
        <f>C13/C6</f>
        <v>108506944.44444445</v>
      </c>
      <c r="D16" s="10">
        <f>D13/D6</f>
        <v>25749206.542968735</v>
      </c>
      <c r="E16" s="61">
        <f>E13/E6</f>
        <v>10058283.805847161</v>
      </c>
    </row>
    <row r="17" spans="1:5" x14ac:dyDescent="0.2">
      <c r="A17" s="52" t="s">
        <v>11</v>
      </c>
      <c r="B17" s="10">
        <f>B16-B3</f>
        <v>185901234.56790125</v>
      </c>
      <c r="C17" s="10">
        <f>C16-C3</f>
        <v>101506944.44444445</v>
      </c>
      <c r="D17" s="10">
        <f>D16-D3</f>
        <v>18749206.542968735</v>
      </c>
      <c r="E17" s="61">
        <f>E16-E3</f>
        <v>3058283.8058471605</v>
      </c>
    </row>
    <row r="18" spans="1:5" x14ac:dyDescent="0.2">
      <c r="A18" s="52" t="s">
        <v>12</v>
      </c>
      <c r="B18" s="10">
        <f>B17/B19</f>
        <v>18.590123456790124</v>
      </c>
      <c r="C18" s="10">
        <f>C17/C19</f>
        <v>10.150694444444445</v>
      </c>
      <c r="D18" s="10">
        <f>D17/D19</f>
        <v>1.8749206542968735</v>
      </c>
      <c r="E18" s="61">
        <f>E17/E19</f>
        <v>0.30582838058471606</v>
      </c>
    </row>
    <row r="19" spans="1:5" x14ac:dyDescent="0.2">
      <c r="A19" s="52" t="s">
        <v>13</v>
      </c>
      <c r="B19" s="4">
        <f>B9+B10</f>
        <v>10000000</v>
      </c>
      <c r="C19" s="4">
        <f>C9+C10</f>
        <v>10000000</v>
      </c>
      <c r="D19" s="4">
        <f>D9+D10</f>
        <v>10000000</v>
      </c>
      <c r="E19" s="62">
        <f>E9+E10</f>
        <v>10000000</v>
      </c>
    </row>
    <row r="20" spans="1:5" x14ac:dyDescent="0.2">
      <c r="A20" s="52" t="s">
        <v>14</v>
      </c>
      <c r="B20" s="4">
        <f>B3/B18</f>
        <v>376544.02975162701</v>
      </c>
      <c r="C20" s="4">
        <f>C3/C18</f>
        <v>689607.99069576513</v>
      </c>
      <c r="D20" s="4">
        <f>D3/D18</f>
        <v>3733491.3261303403</v>
      </c>
      <c r="E20" s="62">
        <f>E3/E18</f>
        <v>22888654.043868121</v>
      </c>
    </row>
    <row r="21" spans="1:5" ht="16" thickBot="1" x14ac:dyDescent="0.25">
      <c r="A21" s="165" t="s">
        <v>15</v>
      </c>
      <c r="B21" s="63">
        <f>B19+B20</f>
        <v>10376544.029751627</v>
      </c>
      <c r="C21" s="63">
        <f>C19+C20</f>
        <v>10689607.990695765</v>
      </c>
      <c r="D21" s="63">
        <f>D19+D20</f>
        <v>13733491.32613034</v>
      </c>
      <c r="E21" s="64">
        <f>E19+E20</f>
        <v>32888654.043868121</v>
      </c>
    </row>
    <row r="22" spans="1:5" ht="16" thickBot="1" x14ac:dyDescent="0.25">
      <c r="B22" s="1"/>
      <c r="C22" s="1"/>
      <c r="D22" s="1"/>
      <c r="E22" s="1"/>
    </row>
    <row r="23" spans="1:5" x14ac:dyDescent="0.2">
      <c r="A23" s="65" t="s">
        <v>16</v>
      </c>
      <c r="B23" s="49" t="s">
        <v>56</v>
      </c>
      <c r="C23" s="49" t="s">
        <v>46</v>
      </c>
      <c r="D23" s="49" t="s">
        <v>125</v>
      </c>
      <c r="E23" s="50" t="s">
        <v>47</v>
      </c>
    </row>
    <row r="24" spans="1:5" x14ac:dyDescent="0.2">
      <c r="A24" s="51" t="s">
        <v>6</v>
      </c>
      <c r="B24" s="4">
        <f t="shared" ref="B24:E25" si="1">B9</f>
        <v>8500000</v>
      </c>
      <c r="C24" s="4">
        <f t="shared" si="1"/>
        <v>8500000</v>
      </c>
      <c r="D24" s="4">
        <f t="shared" si="1"/>
        <v>8500000</v>
      </c>
      <c r="E24" s="62">
        <f t="shared" si="1"/>
        <v>8500000</v>
      </c>
    </row>
    <row r="25" spans="1:5" x14ac:dyDescent="0.2">
      <c r="A25" s="52" t="s">
        <v>7</v>
      </c>
      <c r="B25" s="4">
        <f t="shared" si="1"/>
        <v>1500000</v>
      </c>
      <c r="C25" s="4">
        <f t="shared" si="1"/>
        <v>1500000</v>
      </c>
      <c r="D25" s="4">
        <f t="shared" si="1"/>
        <v>1500000</v>
      </c>
      <c r="E25" s="62">
        <f t="shared" si="1"/>
        <v>1500000</v>
      </c>
    </row>
    <row r="26" spans="1:5" ht="16" thickBot="1" x14ac:dyDescent="0.25">
      <c r="A26" s="53" t="s">
        <v>17</v>
      </c>
      <c r="B26" s="63">
        <f>B20</f>
        <v>376544.02975162701</v>
      </c>
      <c r="C26" s="63">
        <f>C20</f>
        <v>689607.99069576513</v>
      </c>
      <c r="D26" s="63">
        <f>D20</f>
        <v>3733491.3261303403</v>
      </c>
      <c r="E26" s="64">
        <f>E20</f>
        <v>22888654.043868121</v>
      </c>
    </row>
    <row r="27" spans="1:5" ht="16" thickBot="1" x14ac:dyDescent="0.25"/>
    <row r="28" spans="1:5" x14ac:dyDescent="0.2">
      <c r="A28" s="65" t="s">
        <v>18</v>
      </c>
      <c r="B28" s="49" t="s">
        <v>56</v>
      </c>
      <c r="C28" s="49" t="s">
        <v>46</v>
      </c>
      <c r="D28" s="49" t="s">
        <v>125</v>
      </c>
      <c r="E28" s="50" t="s">
        <v>47</v>
      </c>
    </row>
    <row r="29" spans="1:5" x14ac:dyDescent="0.2">
      <c r="A29" s="52" t="s">
        <v>19</v>
      </c>
      <c r="B29" s="6">
        <f>B24/B21</f>
        <v>0.81915519999999997</v>
      </c>
      <c r="C29" s="6">
        <f>C24/C21</f>
        <v>0.7951648</v>
      </c>
      <c r="D29" s="6">
        <f>D24/D21</f>
        <v>0.61892491851851839</v>
      </c>
      <c r="E29" s="66">
        <f>E24/E21</f>
        <v>0.25844779140740698</v>
      </c>
    </row>
    <row r="30" spans="1:5" x14ac:dyDescent="0.2">
      <c r="A30" s="52" t="s">
        <v>20</v>
      </c>
      <c r="B30" s="6">
        <f>B25/B21</f>
        <v>0.14455680000000001</v>
      </c>
      <c r="C30" s="6">
        <f>C25/C21</f>
        <v>0.14032320000000001</v>
      </c>
      <c r="D30" s="6">
        <f>D25/D21</f>
        <v>0.10922204444444443</v>
      </c>
      <c r="E30" s="66">
        <f>E25/E21</f>
        <v>4.56084337777777E-2</v>
      </c>
    </row>
    <row r="31" spans="1:5" ht="16" thickBot="1" x14ac:dyDescent="0.25">
      <c r="A31" s="53" t="s">
        <v>21</v>
      </c>
      <c r="B31" s="67">
        <f>B26/B21</f>
        <v>3.6288000000000001E-2</v>
      </c>
      <c r="C31" s="67">
        <f>C26/C21</f>
        <v>6.4511999999999986E-2</v>
      </c>
      <c r="D31" s="67">
        <f>D26/D21</f>
        <v>0.27185303703703717</v>
      </c>
      <c r="E31" s="68">
        <f>E26/E21</f>
        <v>0.69594377481481529</v>
      </c>
    </row>
    <row r="33" spans="1:1" ht="32" x14ac:dyDescent="0.2">
      <c r="A33" s="164" t="s">
        <v>48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5FF44-50AA-4149-9FB7-6D70138A2359}">
  <dimension ref="A1:C34"/>
  <sheetViews>
    <sheetView zoomScale="160" zoomScaleNormal="160" workbookViewId="0">
      <selection activeCell="C34" sqref="C34"/>
    </sheetView>
  </sheetViews>
  <sheetFormatPr baseColWidth="10" defaultColWidth="8.83203125" defaultRowHeight="15" x14ac:dyDescent="0.2"/>
  <cols>
    <col min="1" max="1" width="30" bestFit="1" customWidth="1"/>
    <col min="2" max="3" width="13.5" bestFit="1" customWidth="1"/>
  </cols>
  <sheetData>
    <row r="1" spans="1:3" ht="16" thickBot="1" x14ac:dyDescent="0.25">
      <c r="A1" s="159" t="s">
        <v>76</v>
      </c>
    </row>
    <row r="2" spans="1:3" x14ac:dyDescent="0.2">
      <c r="A2" s="48" t="s">
        <v>0</v>
      </c>
      <c r="B2" s="160" t="s">
        <v>22</v>
      </c>
      <c r="C2" s="161" t="s">
        <v>23</v>
      </c>
    </row>
    <row r="3" spans="1:3" x14ac:dyDescent="0.2">
      <c r="A3" s="51" t="s">
        <v>1</v>
      </c>
      <c r="B3" s="9">
        <v>3000000</v>
      </c>
      <c r="C3" s="43">
        <v>4000000</v>
      </c>
    </row>
    <row r="4" spans="1:3" x14ac:dyDescent="0.2">
      <c r="A4" s="174" t="s">
        <v>2</v>
      </c>
      <c r="B4" s="172">
        <v>1</v>
      </c>
      <c r="C4" s="173">
        <v>5</v>
      </c>
    </row>
    <row r="5" spans="1:3" x14ac:dyDescent="0.2">
      <c r="A5" s="52" t="s">
        <v>3</v>
      </c>
      <c r="B5" s="3">
        <v>0.6</v>
      </c>
      <c r="C5" s="45">
        <v>0.6</v>
      </c>
    </row>
    <row r="6" spans="1:3" ht="16" thickBot="1" x14ac:dyDescent="0.25">
      <c r="A6" s="53" t="s">
        <v>4</v>
      </c>
      <c r="B6" s="46">
        <f>(1+B5)^B4</f>
        <v>1.6</v>
      </c>
      <c r="C6" s="47">
        <f>(1+C5)^C4</f>
        <v>10.485760000000006</v>
      </c>
    </row>
    <row r="7" spans="1:3" ht="16" thickBot="1" x14ac:dyDescent="0.25">
      <c r="B7" s="1"/>
      <c r="C7" s="1"/>
    </row>
    <row r="8" spans="1:3" x14ac:dyDescent="0.2">
      <c r="A8" s="48" t="s">
        <v>5</v>
      </c>
      <c r="B8" s="50"/>
      <c r="C8" s="1"/>
    </row>
    <row r="9" spans="1:3" x14ac:dyDescent="0.2">
      <c r="A9" s="51" t="s">
        <v>6</v>
      </c>
      <c r="B9" s="162">
        <v>8500000</v>
      </c>
      <c r="C9" s="1"/>
    </row>
    <row r="10" spans="1:3" ht="16" thickBot="1" x14ac:dyDescent="0.25">
      <c r="A10" s="53" t="s">
        <v>7</v>
      </c>
      <c r="B10" s="163">
        <v>1500000</v>
      </c>
      <c r="C10" s="1"/>
    </row>
    <row r="11" spans="1:3" ht="16" thickBot="1" x14ac:dyDescent="0.25">
      <c r="B11" s="1"/>
      <c r="C11" s="1"/>
    </row>
    <row r="12" spans="1:3" x14ac:dyDescent="0.2">
      <c r="A12" s="48" t="s">
        <v>128</v>
      </c>
      <c r="B12" s="175"/>
      <c r="C12" s="1"/>
    </row>
    <row r="13" spans="1:3" ht="16" thickBot="1" x14ac:dyDescent="0.25">
      <c r="A13" s="158" t="s">
        <v>8</v>
      </c>
      <c r="B13" s="59">
        <f>'Venture Capital Method 1 round'!E13</f>
        <v>270000000</v>
      </c>
      <c r="C13" s="1"/>
    </row>
    <row r="14" spans="1:3" ht="16" thickBot="1" x14ac:dyDescent="0.25">
      <c r="B14" s="1"/>
      <c r="C14" s="1"/>
    </row>
    <row r="15" spans="1:3" x14ac:dyDescent="0.2">
      <c r="A15" s="359" t="s">
        <v>24</v>
      </c>
      <c r="B15" s="360"/>
      <c r="C15" s="361"/>
    </row>
    <row r="16" spans="1:3" x14ac:dyDescent="0.2">
      <c r="A16" s="167" t="s">
        <v>9</v>
      </c>
      <c r="B16" s="168" t="s">
        <v>22</v>
      </c>
      <c r="C16" s="169" t="s">
        <v>23</v>
      </c>
    </row>
    <row r="17" spans="1:3" x14ac:dyDescent="0.2">
      <c r="A17" s="51" t="s">
        <v>10</v>
      </c>
      <c r="B17" s="170">
        <f>C18/B6</f>
        <v>13593254.089355459</v>
      </c>
      <c r="C17" s="171">
        <f>B13/C6</f>
        <v>25749206.542968735</v>
      </c>
    </row>
    <row r="18" spans="1:3" x14ac:dyDescent="0.2">
      <c r="A18" s="52" t="s">
        <v>11</v>
      </c>
      <c r="B18" s="10">
        <f>B17-B3</f>
        <v>10593254.089355459</v>
      </c>
      <c r="C18" s="61">
        <f>C17-C3</f>
        <v>21749206.542968735</v>
      </c>
    </row>
    <row r="19" spans="1:3" x14ac:dyDescent="0.2">
      <c r="A19" s="52" t="s">
        <v>12</v>
      </c>
      <c r="B19" s="10">
        <f>B18/B20</f>
        <v>1.0593254089355459</v>
      </c>
      <c r="C19" s="61">
        <f>C18/C20</f>
        <v>1.6949206542968733</v>
      </c>
    </row>
    <row r="20" spans="1:3" x14ac:dyDescent="0.2">
      <c r="A20" s="52" t="s">
        <v>13</v>
      </c>
      <c r="B20" s="4">
        <f>B9+B10</f>
        <v>10000000</v>
      </c>
      <c r="C20" s="62">
        <f>C25+C26+C27</f>
        <v>12831990.977177188</v>
      </c>
    </row>
    <row r="21" spans="1:3" x14ac:dyDescent="0.2">
      <c r="A21" s="52" t="s">
        <v>14</v>
      </c>
      <c r="B21" s="4">
        <f>B3/B19</f>
        <v>2831990.9771771869</v>
      </c>
      <c r="C21" s="62">
        <f>C3/C19</f>
        <v>2359992.4809809895</v>
      </c>
    </row>
    <row r="22" spans="1:3" ht="16" thickBot="1" x14ac:dyDescent="0.25">
      <c r="A22" s="165" t="s">
        <v>15</v>
      </c>
      <c r="B22" s="63">
        <f>B20+B21</f>
        <v>12831990.977177188</v>
      </c>
      <c r="C22" s="64">
        <f>C20+C21</f>
        <v>15191983.458158176</v>
      </c>
    </row>
    <row r="23" spans="1:3" ht="16" thickBot="1" x14ac:dyDescent="0.25">
      <c r="B23" s="1"/>
      <c r="C23" s="1"/>
    </row>
    <row r="24" spans="1:3" ht="16" thickBot="1" x14ac:dyDescent="0.25">
      <c r="A24" s="176" t="s">
        <v>16</v>
      </c>
      <c r="B24" s="5"/>
      <c r="C24" s="5"/>
    </row>
    <row r="25" spans="1:3" x14ac:dyDescent="0.2">
      <c r="A25" s="180" t="s">
        <v>6</v>
      </c>
      <c r="B25" s="177">
        <f>B9</f>
        <v>8500000</v>
      </c>
      <c r="C25" s="178">
        <f>B25</f>
        <v>8500000</v>
      </c>
    </row>
    <row r="26" spans="1:3" x14ac:dyDescent="0.2">
      <c r="A26" s="52" t="s">
        <v>7</v>
      </c>
      <c r="B26" s="4">
        <f>B10</f>
        <v>1500000</v>
      </c>
      <c r="C26" s="62">
        <f>B26</f>
        <v>1500000</v>
      </c>
    </row>
    <row r="27" spans="1:3" x14ac:dyDescent="0.2">
      <c r="A27" s="52" t="s">
        <v>17</v>
      </c>
      <c r="B27" s="4">
        <f>B21</f>
        <v>2831990.9771771869</v>
      </c>
      <c r="C27" s="62">
        <f>B27</f>
        <v>2831990.9771771869</v>
      </c>
    </row>
    <row r="28" spans="1:3" ht="16" thickBot="1" x14ac:dyDescent="0.25">
      <c r="A28" s="53" t="s">
        <v>25</v>
      </c>
      <c r="B28" s="179" t="s">
        <v>26</v>
      </c>
      <c r="C28" s="64">
        <f>C21</f>
        <v>2359992.4809809895</v>
      </c>
    </row>
    <row r="29" spans="1:3" ht="16" thickBot="1" x14ac:dyDescent="0.25">
      <c r="B29" s="1"/>
      <c r="C29" s="1"/>
    </row>
    <row r="30" spans="1:3" ht="16" thickBot="1" x14ac:dyDescent="0.25">
      <c r="A30" s="181" t="s">
        <v>18</v>
      </c>
      <c r="B30" s="182"/>
      <c r="C30" s="183"/>
    </row>
    <row r="31" spans="1:3" x14ac:dyDescent="0.2">
      <c r="A31" s="180" t="s">
        <v>19</v>
      </c>
      <c r="B31" s="6">
        <f>B25/B22</f>
        <v>0.66240694956207413</v>
      </c>
      <c r="C31" s="66">
        <f>C25/C22</f>
        <v>0.55950561185185166</v>
      </c>
    </row>
    <row r="32" spans="1:3" x14ac:dyDescent="0.2">
      <c r="A32" s="52" t="s">
        <v>20</v>
      </c>
      <c r="B32" s="6">
        <f>B26/B22</f>
        <v>0.11689534404036603</v>
      </c>
      <c r="C32" s="66">
        <f>C26/C22</f>
        <v>9.8736284444444419E-2</v>
      </c>
    </row>
    <row r="33" spans="1:3" x14ac:dyDescent="0.2">
      <c r="A33" s="52" t="s">
        <v>21</v>
      </c>
      <c r="B33" s="6">
        <f>B27/B22</f>
        <v>0.22069770639755976</v>
      </c>
      <c r="C33" s="66">
        <f>C27/C22</f>
        <v>0.18641351111111121</v>
      </c>
    </row>
    <row r="34" spans="1:3" ht="16" thickBot="1" x14ac:dyDescent="0.25">
      <c r="A34" s="53" t="s">
        <v>27</v>
      </c>
      <c r="B34" s="67" t="s">
        <v>26</v>
      </c>
      <c r="C34" s="68">
        <f>C28/C22</f>
        <v>0.1553445925925927</v>
      </c>
    </row>
  </sheetData>
  <mergeCells count="1">
    <mergeCell ref="A15:C15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B28E-1A4A-41BA-8F9C-392859026F92}">
  <sheetPr>
    <pageSetUpPr fitToPage="1"/>
  </sheetPr>
  <dimension ref="A1:L20"/>
  <sheetViews>
    <sheetView zoomScale="140" zoomScaleNormal="140" workbookViewId="0">
      <selection activeCell="J5" sqref="J5"/>
    </sheetView>
  </sheetViews>
  <sheetFormatPr baseColWidth="10" defaultColWidth="8.83203125" defaultRowHeight="15" x14ac:dyDescent="0.2"/>
  <cols>
    <col min="1" max="1" width="22.5" bestFit="1" customWidth="1"/>
    <col min="2" max="2" width="10.6640625" customWidth="1"/>
    <col min="3" max="3" width="11.1640625" bestFit="1" customWidth="1"/>
    <col min="4" max="4" width="10.5" bestFit="1" customWidth="1"/>
    <col min="5" max="5" width="13.83203125" style="8" bestFit="1" customWidth="1"/>
    <col min="6" max="6" width="11.33203125" bestFit="1" customWidth="1"/>
    <col min="7" max="7" width="14.83203125" bestFit="1" customWidth="1"/>
    <col min="8" max="8" width="10.5" bestFit="1" customWidth="1"/>
    <col min="9" max="9" width="14" bestFit="1" customWidth="1"/>
    <col min="10" max="11" width="11.1640625" bestFit="1" customWidth="1"/>
    <col min="12" max="12" width="10.5" bestFit="1" customWidth="1"/>
  </cols>
  <sheetData>
    <row r="1" spans="1:12" ht="16" x14ac:dyDescent="0.2">
      <c r="A1" s="90" t="s">
        <v>78</v>
      </c>
      <c r="B1" s="367" t="s">
        <v>50</v>
      </c>
      <c r="C1" s="368"/>
      <c r="D1" s="369"/>
      <c r="E1" s="362" t="s">
        <v>51</v>
      </c>
      <c r="F1" s="363"/>
      <c r="G1" s="363"/>
      <c r="H1" s="364"/>
      <c r="I1" s="365" t="s">
        <v>57</v>
      </c>
      <c r="J1" s="365"/>
      <c r="K1" s="365"/>
      <c r="L1" s="366"/>
    </row>
    <row r="2" spans="1:12" ht="17" thickBot="1" x14ac:dyDescent="0.25">
      <c r="A2" s="91" t="s">
        <v>75</v>
      </c>
      <c r="B2" s="32" t="s">
        <v>1</v>
      </c>
      <c r="C2" s="33" t="s">
        <v>15</v>
      </c>
      <c r="D2" s="34" t="s">
        <v>49</v>
      </c>
      <c r="E2" s="35" t="s">
        <v>1</v>
      </c>
      <c r="F2" s="36" t="s">
        <v>55</v>
      </c>
      <c r="G2" s="36" t="s">
        <v>15</v>
      </c>
      <c r="H2" s="37" t="s">
        <v>49</v>
      </c>
      <c r="I2" s="38" t="s">
        <v>1</v>
      </c>
      <c r="J2" s="38" t="s">
        <v>53</v>
      </c>
      <c r="K2" s="38" t="s">
        <v>15</v>
      </c>
      <c r="L2" s="39" t="s">
        <v>49</v>
      </c>
    </row>
    <row r="3" spans="1:12" x14ac:dyDescent="0.2">
      <c r="A3" s="69" t="s">
        <v>68</v>
      </c>
      <c r="B3" s="71">
        <v>8.5</v>
      </c>
      <c r="C3" s="72">
        <v>8500000</v>
      </c>
      <c r="D3" s="73">
        <f>C3/$C$8</f>
        <v>0.85</v>
      </c>
      <c r="E3" s="75"/>
      <c r="F3" s="76"/>
      <c r="G3" s="72">
        <f>C3</f>
        <v>8500000</v>
      </c>
      <c r="H3" s="73">
        <f>G3/$G$8</f>
        <v>0.6611111111111112</v>
      </c>
      <c r="I3" s="76" t="s">
        <v>54</v>
      </c>
      <c r="J3" s="76"/>
      <c r="K3" s="72">
        <f>G3+J3</f>
        <v>8500000</v>
      </c>
      <c r="L3" s="73">
        <f>K3/$K$8</f>
        <v>0.55883977900552495</v>
      </c>
    </row>
    <row r="4" spans="1:12" x14ac:dyDescent="0.2">
      <c r="A4" s="69" t="s">
        <v>69</v>
      </c>
      <c r="B4" s="71"/>
      <c r="C4" s="72">
        <v>1500000</v>
      </c>
      <c r="D4" s="73">
        <f>C4/$C$8</f>
        <v>0.15</v>
      </c>
      <c r="E4" s="75"/>
      <c r="F4" s="76"/>
      <c r="G4" s="72">
        <f>C4</f>
        <v>1500000</v>
      </c>
      <c r="H4" s="73">
        <f>G4/$G$8</f>
        <v>0.11666666666666667</v>
      </c>
      <c r="I4" s="76"/>
      <c r="J4" s="76"/>
      <c r="K4" s="72">
        <f>G4+J4</f>
        <v>1500000</v>
      </c>
      <c r="L4" s="73">
        <f>K4/$K$8</f>
        <v>9.8618784530386749E-2</v>
      </c>
    </row>
    <row r="5" spans="1:12" x14ac:dyDescent="0.2">
      <c r="A5" s="69" t="s">
        <v>70</v>
      </c>
      <c r="B5" s="71"/>
      <c r="C5" s="72"/>
      <c r="D5" s="74"/>
      <c r="E5" s="75">
        <v>2000000</v>
      </c>
      <c r="F5" s="72">
        <f>E5/E10</f>
        <v>1904761.9047619046</v>
      </c>
      <c r="G5" s="72">
        <f>F5</f>
        <v>1904761.9047619046</v>
      </c>
      <c r="H5" s="73">
        <f>G5/$G$8</f>
        <v>0.14814814814814814</v>
      </c>
      <c r="I5" s="77">
        <v>3000000</v>
      </c>
      <c r="J5" s="72">
        <f>I5/I10</f>
        <v>1764705.8823529412</v>
      </c>
      <c r="K5" s="72">
        <f>G5+J5</f>
        <v>3669467.7871148456</v>
      </c>
      <c r="L5" s="73">
        <f>K5/$K$8</f>
        <v>0.24125230202578271</v>
      </c>
    </row>
    <row r="6" spans="1:12" x14ac:dyDescent="0.2">
      <c r="A6" s="69" t="s">
        <v>71</v>
      </c>
      <c r="B6" s="71"/>
      <c r="C6" s="72"/>
      <c r="D6" s="74"/>
      <c r="E6" s="75">
        <v>1000000</v>
      </c>
      <c r="F6" s="72">
        <f>E6/E10</f>
        <v>952380.95238095231</v>
      </c>
      <c r="G6" s="72">
        <f>F6</f>
        <v>952380.95238095231</v>
      </c>
      <c r="H6" s="73">
        <f>G6/G8</f>
        <v>7.407407407407407E-2</v>
      </c>
      <c r="I6" s="77"/>
      <c r="J6" s="72"/>
      <c r="K6" s="72">
        <f>G6</f>
        <v>952380.95238095231</v>
      </c>
      <c r="L6" s="73">
        <f>K6/K8</f>
        <v>6.2615101289134445E-2</v>
      </c>
    </row>
    <row r="7" spans="1:12" x14ac:dyDescent="0.2">
      <c r="A7" s="69" t="s">
        <v>72</v>
      </c>
      <c r="B7" s="71"/>
      <c r="C7" s="72"/>
      <c r="D7" s="74"/>
      <c r="E7" s="75"/>
      <c r="F7" s="72"/>
      <c r="G7" s="72"/>
      <c r="H7" s="73"/>
      <c r="I7" s="77">
        <v>1000000</v>
      </c>
      <c r="J7" s="72">
        <f>I7/I10</f>
        <v>588235.29411764711</v>
      </c>
      <c r="K7" s="72">
        <f>J7</f>
        <v>588235.29411764711</v>
      </c>
      <c r="L7" s="73">
        <f>K7/K8</f>
        <v>3.8674033149171276E-2</v>
      </c>
    </row>
    <row r="8" spans="1:12" ht="16" thickBot="1" x14ac:dyDescent="0.25">
      <c r="A8" s="70" t="s">
        <v>52</v>
      </c>
      <c r="B8" s="184">
        <f>SUM(B3:B7)</f>
        <v>8.5</v>
      </c>
      <c r="C8" s="185">
        <f>SUM(C3:C5)</f>
        <v>10000000</v>
      </c>
      <c r="D8" s="186">
        <f>SUM(D3:D5)</f>
        <v>1</v>
      </c>
      <c r="E8" s="187">
        <f>SUM(E3:E6)</f>
        <v>3000000</v>
      </c>
      <c r="F8" s="185">
        <f>SUM(F3:F6)</f>
        <v>2857142.8571428568</v>
      </c>
      <c r="G8" s="185">
        <f>C8+F8</f>
        <v>12857142.857142856</v>
      </c>
      <c r="H8" s="186">
        <f>SUM(H3:H6)</f>
        <v>1</v>
      </c>
      <c r="I8" s="188">
        <f>SUM(I3:I7)</f>
        <v>4000000</v>
      </c>
      <c r="J8" s="185">
        <f>SUM(J3:J7)</f>
        <v>2352941.1764705884</v>
      </c>
      <c r="K8" s="185">
        <f>SUM(K3:K7)</f>
        <v>15210084.033613443</v>
      </c>
      <c r="L8" s="186">
        <f>SUM(L3:L7)</f>
        <v>1.0000000000000002</v>
      </c>
    </row>
    <row r="9" spans="1:12" ht="16" thickBot="1" x14ac:dyDescent="0.25">
      <c r="E9"/>
    </row>
    <row r="10" spans="1:12" x14ac:dyDescent="0.2">
      <c r="A10" s="85" t="s">
        <v>12</v>
      </c>
      <c r="B10" s="78"/>
      <c r="C10" s="78"/>
      <c r="D10" s="78"/>
      <c r="E10" s="88">
        <v>1.05</v>
      </c>
      <c r="F10" s="78"/>
      <c r="G10" s="78"/>
      <c r="H10" s="80"/>
      <c r="I10" s="89">
        <v>1.7</v>
      </c>
    </row>
    <row r="11" spans="1:12" x14ac:dyDescent="0.2">
      <c r="A11" s="86" t="s">
        <v>11</v>
      </c>
      <c r="B11" s="76"/>
      <c r="C11" s="76"/>
      <c r="D11" s="76"/>
      <c r="E11" s="82">
        <f>E10*C8</f>
        <v>10500000</v>
      </c>
      <c r="F11" s="76"/>
      <c r="G11" s="76"/>
      <c r="H11" s="74"/>
      <c r="I11" s="40">
        <f>I10*G8</f>
        <v>21857142.857142854</v>
      </c>
    </row>
    <row r="12" spans="1:12" ht="16" thickBot="1" x14ac:dyDescent="0.25">
      <c r="A12" s="87" t="s">
        <v>10</v>
      </c>
      <c r="B12" s="79"/>
      <c r="C12" s="79"/>
      <c r="D12" s="79"/>
      <c r="E12" s="83">
        <f>E10*G8</f>
        <v>13500000</v>
      </c>
      <c r="F12" s="79"/>
      <c r="G12" s="79"/>
      <c r="H12" s="81"/>
      <c r="I12" s="41">
        <f>I10*K8</f>
        <v>25857142.857142854</v>
      </c>
    </row>
    <row r="14" spans="1:12" x14ac:dyDescent="0.2">
      <c r="A14" s="84" t="s">
        <v>73</v>
      </c>
      <c r="B14" s="7"/>
    </row>
    <row r="15" spans="1:12" x14ac:dyDescent="0.2">
      <c r="A15" t="s">
        <v>74</v>
      </c>
    </row>
    <row r="16" spans="1:12" x14ac:dyDescent="0.2">
      <c r="D16" s="31"/>
    </row>
    <row r="20" spans="7:7" x14ac:dyDescent="0.2">
      <c r="G20" s="11"/>
    </row>
  </sheetData>
  <mergeCells count="3">
    <mergeCell ref="E1:H1"/>
    <mergeCell ref="I1:L1"/>
    <mergeCell ref="B1:D1"/>
  </mergeCells>
  <pageMargins left="0.7" right="0.7" top="0.75" bottom="0.75" header="0.3" footer="0.3"/>
  <pageSetup paperSize="9" scale="87" orientation="landscape" r:id="rId1"/>
  <ignoredErrors>
    <ignoredError sqref="G8 E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0638-69B1-6244-BA09-CB1052D0BD49}">
  <sheetPr>
    <pageSetUpPr fitToPage="1"/>
  </sheetPr>
  <dimension ref="A1:L20"/>
  <sheetViews>
    <sheetView zoomScale="130" zoomScaleNormal="130" workbookViewId="0">
      <selection activeCell="L31" sqref="L31:M31"/>
    </sheetView>
  </sheetViews>
  <sheetFormatPr baseColWidth="10" defaultColWidth="8.83203125" defaultRowHeight="15" x14ac:dyDescent="0.2"/>
  <cols>
    <col min="1" max="1" width="22.5" bestFit="1" customWidth="1"/>
    <col min="2" max="2" width="10.6640625" customWidth="1"/>
    <col min="3" max="3" width="11.1640625" bestFit="1" customWidth="1"/>
    <col min="4" max="4" width="10.5" bestFit="1" customWidth="1"/>
    <col min="5" max="5" width="13.83203125" style="8" bestFit="1" customWidth="1"/>
    <col min="6" max="6" width="11.33203125" bestFit="1" customWidth="1"/>
    <col min="7" max="7" width="14.83203125" bestFit="1" customWidth="1"/>
    <col min="8" max="8" width="10.5" bestFit="1" customWidth="1"/>
    <col min="9" max="9" width="14" bestFit="1" customWidth="1"/>
    <col min="10" max="11" width="11.1640625" bestFit="1" customWidth="1"/>
    <col min="12" max="12" width="10.5" bestFit="1" customWidth="1"/>
  </cols>
  <sheetData>
    <row r="1" spans="1:12" x14ac:dyDescent="0.2">
      <c r="A1" s="94" t="s">
        <v>78</v>
      </c>
      <c r="B1" s="367" t="s">
        <v>50</v>
      </c>
      <c r="C1" s="368"/>
      <c r="D1" s="369"/>
      <c r="E1" s="362" t="s">
        <v>51</v>
      </c>
      <c r="F1" s="363"/>
      <c r="G1" s="363"/>
      <c r="H1" s="364"/>
      <c r="I1" s="365" t="s">
        <v>57</v>
      </c>
      <c r="J1" s="365"/>
      <c r="K1" s="365"/>
      <c r="L1" s="366"/>
    </row>
    <row r="2" spans="1:12" ht="16" thickBot="1" x14ac:dyDescent="0.25">
      <c r="A2" s="95" t="s">
        <v>75</v>
      </c>
      <c r="B2" s="32" t="s">
        <v>1</v>
      </c>
      <c r="C2" s="33" t="s">
        <v>15</v>
      </c>
      <c r="D2" s="34" t="s">
        <v>49</v>
      </c>
      <c r="E2" s="35" t="s">
        <v>1</v>
      </c>
      <c r="F2" s="36" t="s">
        <v>55</v>
      </c>
      <c r="G2" s="36" t="s">
        <v>15</v>
      </c>
      <c r="H2" s="37" t="s">
        <v>49</v>
      </c>
      <c r="I2" s="38" t="s">
        <v>1</v>
      </c>
      <c r="J2" s="38" t="s">
        <v>53</v>
      </c>
      <c r="K2" s="38" t="s">
        <v>15</v>
      </c>
      <c r="L2" s="39" t="s">
        <v>49</v>
      </c>
    </row>
    <row r="3" spans="1:12" x14ac:dyDescent="0.2">
      <c r="A3" s="69" t="s">
        <v>68</v>
      </c>
      <c r="B3" s="71">
        <v>8.5</v>
      </c>
      <c r="C3" s="72">
        <v>8500000</v>
      </c>
      <c r="D3" s="73">
        <f>C3/$C$8</f>
        <v>0.85</v>
      </c>
      <c r="E3" s="75"/>
      <c r="F3" s="76"/>
      <c r="G3" s="72">
        <f>C3</f>
        <v>8500000</v>
      </c>
      <c r="H3" s="73">
        <f>G3/$G$8</f>
        <v>0.68</v>
      </c>
      <c r="I3" s="76" t="s">
        <v>54</v>
      </c>
      <c r="J3" s="76"/>
      <c r="K3" s="72">
        <f>G3+J3</f>
        <v>8500000</v>
      </c>
      <c r="L3" s="73">
        <f>K3/$K$8</f>
        <v>0.57227722772277223</v>
      </c>
    </row>
    <row r="4" spans="1:12" x14ac:dyDescent="0.2">
      <c r="A4" s="69" t="s">
        <v>69</v>
      </c>
      <c r="B4" s="71"/>
      <c r="C4" s="72">
        <v>1500000</v>
      </c>
      <c r="D4" s="73">
        <f>C4/$C$8</f>
        <v>0.15</v>
      </c>
      <c r="E4" s="75"/>
      <c r="F4" s="76"/>
      <c r="G4" s="72">
        <f>C4</f>
        <v>1500000</v>
      </c>
      <c r="H4" s="73">
        <f>G4/$G$8</f>
        <v>0.12</v>
      </c>
      <c r="I4" s="76"/>
      <c r="J4" s="76"/>
      <c r="K4" s="72">
        <f>G4+J4</f>
        <v>1500000</v>
      </c>
      <c r="L4" s="73">
        <f>K4/$K$8</f>
        <v>0.10099009900990098</v>
      </c>
    </row>
    <row r="5" spans="1:12" x14ac:dyDescent="0.2">
      <c r="A5" s="69" t="s">
        <v>70</v>
      </c>
      <c r="B5" s="71"/>
      <c r="C5" s="72"/>
      <c r="D5" s="74"/>
      <c r="E5" s="75">
        <v>2000000</v>
      </c>
      <c r="F5" s="72">
        <f>E5/E10</f>
        <v>1666666.6666666667</v>
      </c>
      <c r="G5" s="72">
        <f>F5</f>
        <v>1666666.6666666667</v>
      </c>
      <c r="H5" s="73">
        <f>G5/$G$8</f>
        <v>0.13333333333333333</v>
      </c>
      <c r="I5" s="77">
        <v>3000000</v>
      </c>
      <c r="J5" s="72">
        <f>I5/I10</f>
        <v>1764705.8823529412</v>
      </c>
      <c r="K5" s="72">
        <f>G5+J5</f>
        <v>3431372.5490196077</v>
      </c>
      <c r="L5" s="73">
        <f>K5/$K$8</f>
        <v>0.23102310231023102</v>
      </c>
    </row>
    <row r="6" spans="1:12" x14ac:dyDescent="0.2">
      <c r="A6" s="69" t="s">
        <v>71</v>
      </c>
      <c r="B6" s="71"/>
      <c r="C6" s="72"/>
      <c r="D6" s="74"/>
      <c r="E6" s="75">
        <v>1000000</v>
      </c>
      <c r="F6" s="72">
        <f>E6/E10</f>
        <v>833333.33333333337</v>
      </c>
      <c r="G6" s="72">
        <f>F6</f>
        <v>833333.33333333337</v>
      </c>
      <c r="H6" s="73">
        <f>G6/G8</f>
        <v>6.6666666666666666E-2</v>
      </c>
      <c r="I6" s="77"/>
      <c r="J6" s="72"/>
      <c r="K6" s="72">
        <f>G6</f>
        <v>833333.33333333337</v>
      </c>
      <c r="L6" s="73">
        <f>K6/K8</f>
        <v>5.6105610561056105E-2</v>
      </c>
    </row>
    <row r="7" spans="1:12" x14ac:dyDescent="0.2">
      <c r="A7" s="69" t="s">
        <v>72</v>
      </c>
      <c r="B7" s="71"/>
      <c r="C7" s="72"/>
      <c r="D7" s="74"/>
      <c r="E7" s="75"/>
      <c r="F7" s="72"/>
      <c r="G7" s="72"/>
      <c r="H7" s="73"/>
      <c r="I7" s="77">
        <v>1000000</v>
      </c>
      <c r="J7" s="72">
        <f>I7/I10</f>
        <v>588235.29411764711</v>
      </c>
      <c r="K7" s="72">
        <f>J7</f>
        <v>588235.29411764711</v>
      </c>
      <c r="L7" s="73">
        <f>K7/K8</f>
        <v>3.9603960396039604E-2</v>
      </c>
    </row>
    <row r="8" spans="1:12" ht="16" thickBot="1" x14ac:dyDescent="0.25">
      <c r="A8" s="70" t="s">
        <v>52</v>
      </c>
      <c r="B8" s="189">
        <f>SUM(B3:B7)</f>
        <v>8.5</v>
      </c>
      <c r="C8" s="190">
        <f>SUM(C3:C5)</f>
        <v>10000000</v>
      </c>
      <c r="D8" s="191">
        <f>SUM(D3:D5)</f>
        <v>1</v>
      </c>
      <c r="E8" s="192">
        <f>SUM(E3:E6)</f>
        <v>3000000</v>
      </c>
      <c r="F8" s="193">
        <f>SUM(F3:F6)</f>
        <v>2500000</v>
      </c>
      <c r="G8" s="193">
        <f>C8+F8</f>
        <v>12500000</v>
      </c>
      <c r="H8" s="194">
        <f>SUM(H3:H6)</f>
        <v>1</v>
      </c>
      <c r="I8" s="195">
        <f>SUM(I3:I7)</f>
        <v>4000000</v>
      </c>
      <c r="J8" s="196">
        <f>SUM(J3:J7)</f>
        <v>2352941.1764705884</v>
      </c>
      <c r="K8" s="196">
        <f>SUM(K3:K7)</f>
        <v>14852941.176470589</v>
      </c>
      <c r="L8" s="197">
        <f>SUM(L3:L7)</f>
        <v>1</v>
      </c>
    </row>
    <row r="9" spans="1:12" ht="16" thickBot="1" x14ac:dyDescent="0.25">
      <c r="E9"/>
    </row>
    <row r="10" spans="1:12" x14ac:dyDescent="0.2">
      <c r="A10" s="85" t="s">
        <v>12</v>
      </c>
      <c r="B10" s="78"/>
      <c r="C10" s="78"/>
      <c r="D10" s="78"/>
      <c r="E10" s="92">
        <v>1.2</v>
      </c>
      <c r="F10" s="78"/>
      <c r="G10" s="78"/>
      <c r="H10" s="80"/>
      <c r="I10" s="93">
        <v>1.7</v>
      </c>
    </row>
    <row r="11" spans="1:12" x14ac:dyDescent="0.2">
      <c r="A11" s="86" t="s">
        <v>11</v>
      </c>
      <c r="B11" s="76"/>
      <c r="C11" s="76"/>
      <c r="D11" s="76"/>
      <c r="E11" s="82">
        <f>E10*C8</f>
        <v>12000000</v>
      </c>
      <c r="F11" s="76"/>
      <c r="G11" s="76"/>
      <c r="H11" s="74"/>
      <c r="I11" s="40">
        <f>I10*G8</f>
        <v>21250000</v>
      </c>
    </row>
    <row r="12" spans="1:12" ht="16" thickBot="1" x14ac:dyDescent="0.25">
      <c r="A12" s="87" t="s">
        <v>10</v>
      </c>
      <c r="B12" s="79"/>
      <c r="C12" s="79"/>
      <c r="D12" s="79"/>
      <c r="E12" s="83">
        <f>E10*G8</f>
        <v>15000000</v>
      </c>
      <c r="F12" s="79"/>
      <c r="G12" s="79"/>
      <c r="H12" s="81"/>
      <c r="I12" s="41">
        <f>I10*K8</f>
        <v>25250000</v>
      </c>
    </row>
    <row r="16" spans="1:12" x14ac:dyDescent="0.2">
      <c r="A16" s="111" t="s">
        <v>73</v>
      </c>
      <c r="B16" s="7"/>
      <c r="D16" s="31"/>
    </row>
    <row r="17" spans="1:7" x14ac:dyDescent="0.2">
      <c r="A17" t="s">
        <v>74</v>
      </c>
    </row>
    <row r="20" spans="1:7" x14ac:dyDescent="0.2">
      <c r="G20" s="11"/>
    </row>
  </sheetData>
  <mergeCells count="3">
    <mergeCell ref="B1:D1"/>
    <mergeCell ref="E1:H1"/>
    <mergeCell ref="I1:L1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943E-D4A9-3045-8654-92F8210962EB}">
  <dimension ref="A1:J33"/>
  <sheetViews>
    <sheetView zoomScale="180" zoomScaleNormal="180" workbookViewId="0">
      <selection activeCell="C2" sqref="C2"/>
    </sheetView>
  </sheetViews>
  <sheetFormatPr baseColWidth="10" defaultRowHeight="15" x14ac:dyDescent="0.2"/>
  <cols>
    <col min="1" max="1" width="29.6640625" customWidth="1"/>
    <col min="2" max="3" width="6.33203125" customWidth="1"/>
    <col min="4" max="9" width="12.6640625" bestFit="1" customWidth="1"/>
  </cols>
  <sheetData>
    <row r="1" spans="1:10" ht="16" x14ac:dyDescent="0.2">
      <c r="A1" s="29" t="s">
        <v>79</v>
      </c>
      <c r="B1" s="113"/>
      <c r="C1" s="113"/>
      <c r="D1" s="113"/>
      <c r="E1" s="113"/>
      <c r="F1" s="113"/>
      <c r="G1" s="113"/>
      <c r="I1" s="113"/>
      <c r="J1" s="113"/>
    </row>
    <row r="2" spans="1:10" x14ac:dyDescent="0.2">
      <c r="A2" s="114" t="s">
        <v>81</v>
      </c>
      <c r="B2" s="140" t="s">
        <v>80</v>
      </c>
      <c r="C2" s="113"/>
      <c r="D2" s="113"/>
      <c r="E2" s="113"/>
      <c r="F2" s="113"/>
      <c r="G2" s="113"/>
      <c r="H2" s="113"/>
      <c r="I2" s="113"/>
      <c r="J2" s="113"/>
    </row>
    <row r="3" spans="1:10" ht="16" thickBot="1" x14ac:dyDescent="0.25">
      <c r="A3" s="113"/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6" thickBot="1" x14ac:dyDescent="0.25">
      <c r="A4" s="115" t="s">
        <v>124</v>
      </c>
      <c r="B4" s="116"/>
      <c r="C4" s="116"/>
      <c r="D4" s="117" t="s">
        <v>82</v>
      </c>
      <c r="E4" s="117" t="s">
        <v>83</v>
      </c>
      <c r="F4" s="117" t="s">
        <v>84</v>
      </c>
      <c r="G4" s="117" t="s">
        <v>85</v>
      </c>
      <c r="H4" s="117" t="s">
        <v>86</v>
      </c>
      <c r="I4" s="118" t="s">
        <v>87</v>
      </c>
      <c r="J4" s="113"/>
    </row>
    <row r="5" spans="1:10" x14ac:dyDescent="0.2">
      <c r="A5" s="119" t="s">
        <v>88</v>
      </c>
      <c r="B5" s="120">
        <v>1</v>
      </c>
      <c r="C5" s="121" t="s">
        <v>89</v>
      </c>
      <c r="D5" s="204">
        <v>25000000</v>
      </c>
      <c r="E5" s="141">
        <v>22500000</v>
      </c>
      <c r="F5" s="142">
        <v>25000000</v>
      </c>
      <c r="G5" s="143">
        <v>25000000</v>
      </c>
      <c r="H5" s="143">
        <v>25000000</v>
      </c>
      <c r="I5" s="144">
        <v>25000000</v>
      </c>
      <c r="J5" s="113"/>
    </row>
    <row r="6" spans="1:10" x14ac:dyDescent="0.2">
      <c r="A6" s="122" t="s">
        <v>90</v>
      </c>
      <c r="B6" s="120">
        <v>2</v>
      </c>
      <c r="C6" s="121" t="s">
        <v>91</v>
      </c>
      <c r="D6" s="205">
        <v>4</v>
      </c>
      <c r="E6" s="124">
        <v>4</v>
      </c>
      <c r="F6" s="125">
        <v>4.4000000000000004</v>
      </c>
      <c r="G6" s="126">
        <v>4</v>
      </c>
      <c r="H6" s="123">
        <v>4</v>
      </c>
      <c r="I6" s="127">
        <v>4</v>
      </c>
      <c r="J6" s="113"/>
    </row>
    <row r="7" spans="1:10" x14ac:dyDescent="0.2">
      <c r="A7" s="122" t="s">
        <v>3</v>
      </c>
      <c r="B7" s="120">
        <v>3</v>
      </c>
      <c r="C7" s="121" t="s">
        <v>92</v>
      </c>
      <c r="D7" s="206">
        <v>0.5</v>
      </c>
      <c r="E7" s="128">
        <v>0.5</v>
      </c>
      <c r="F7" s="129">
        <v>0.5</v>
      </c>
      <c r="G7" s="130">
        <v>0.6</v>
      </c>
      <c r="H7" s="131">
        <v>0.5</v>
      </c>
      <c r="I7" s="132">
        <v>0.5</v>
      </c>
      <c r="J7" s="113"/>
    </row>
    <row r="8" spans="1:10" x14ac:dyDescent="0.2">
      <c r="A8" s="122" t="s">
        <v>93</v>
      </c>
      <c r="B8" s="120">
        <v>4</v>
      </c>
      <c r="C8" s="121" t="s">
        <v>94</v>
      </c>
      <c r="D8" s="207">
        <v>3000000</v>
      </c>
      <c r="E8" s="143">
        <v>3000000</v>
      </c>
      <c r="F8" s="143">
        <v>3000000</v>
      </c>
      <c r="G8" s="145">
        <v>3000000</v>
      </c>
      <c r="H8" s="146">
        <v>3300000</v>
      </c>
      <c r="I8" s="147">
        <v>3000000</v>
      </c>
      <c r="J8" s="113"/>
    </row>
    <row r="9" spans="1:10" x14ac:dyDescent="0.2">
      <c r="A9" s="198" t="s">
        <v>95</v>
      </c>
      <c r="B9" s="199">
        <v>5</v>
      </c>
      <c r="C9" s="200" t="s">
        <v>96</v>
      </c>
      <c r="D9" s="208">
        <v>1000000</v>
      </c>
      <c r="E9" s="201">
        <v>1000000</v>
      </c>
      <c r="F9" s="201">
        <v>1000000</v>
      </c>
      <c r="G9" s="201">
        <v>1000000</v>
      </c>
      <c r="H9" s="202">
        <v>1000000</v>
      </c>
      <c r="I9" s="203">
        <v>2000000</v>
      </c>
      <c r="J9" s="113"/>
    </row>
    <row r="10" spans="1:10" x14ac:dyDescent="0.2">
      <c r="A10" s="122" t="s">
        <v>97</v>
      </c>
      <c r="B10" s="120">
        <v>6</v>
      </c>
      <c r="C10" s="121" t="s">
        <v>98</v>
      </c>
      <c r="D10" s="209">
        <f t="shared" ref="D10:I10" si="0">D5/(1+D7)^D6</f>
        <v>4938271.6049382715</v>
      </c>
      <c r="E10" s="148">
        <f t="shared" si="0"/>
        <v>4444444.444444444</v>
      </c>
      <c r="F10" s="148">
        <f t="shared" si="0"/>
        <v>4198928.3971219445</v>
      </c>
      <c r="G10" s="148">
        <f t="shared" si="0"/>
        <v>3814697.2656249981</v>
      </c>
      <c r="H10" s="148">
        <f t="shared" si="0"/>
        <v>4938271.6049382715</v>
      </c>
      <c r="I10" s="149">
        <f t="shared" si="0"/>
        <v>4938271.6049382715</v>
      </c>
      <c r="J10" s="113"/>
    </row>
    <row r="11" spans="1:10" x14ac:dyDescent="0.2">
      <c r="A11" s="122" t="s">
        <v>99</v>
      </c>
      <c r="B11" s="120">
        <v>7</v>
      </c>
      <c r="C11" s="121" t="s">
        <v>100</v>
      </c>
      <c r="D11" s="209">
        <f t="shared" ref="D11:I11" si="1">D10-D8</f>
        <v>1938271.6049382715</v>
      </c>
      <c r="E11" s="148">
        <f t="shared" si="1"/>
        <v>1444444.444444444</v>
      </c>
      <c r="F11" s="148">
        <f t="shared" si="1"/>
        <v>1198928.3971219445</v>
      </c>
      <c r="G11" s="148">
        <f t="shared" si="1"/>
        <v>814697.26562499814</v>
      </c>
      <c r="H11" s="148">
        <f t="shared" si="1"/>
        <v>1638271.6049382715</v>
      </c>
      <c r="I11" s="149">
        <f t="shared" si="1"/>
        <v>1938271.6049382715</v>
      </c>
      <c r="J11" s="113"/>
    </row>
    <row r="12" spans="1:10" x14ac:dyDescent="0.2">
      <c r="A12" s="347" t="s">
        <v>101</v>
      </c>
      <c r="B12" s="348">
        <v>8</v>
      </c>
      <c r="C12" s="349" t="s">
        <v>102</v>
      </c>
      <c r="D12" s="350">
        <f t="shared" ref="D12:I12" si="2">D8/D10</f>
        <v>0.60750000000000004</v>
      </c>
      <c r="E12" s="351">
        <f t="shared" si="2"/>
        <v>0.67500000000000004</v>
      </c>
      <c r="F12" s="351">
        <f t="shared" si="2"/>
        <v>0.71446800618373929</v>
      </c>
      <c r="G12" s="351">
        <f t="shared" si="2"/>
        <v>0.78643200000000035</v>
      </c>
      <c r="H12" s="351">
        <f t="shared" si="2"/>
        <v>0.66825000000000001</v>
      </c>
      <c r="I12" s="352">
        <f t="shared" si="2"/>
        <v>0.60750000000000004</v>
      </c>
      <c r="J12" s="113"/>
    </row>
    <row r="13" spans="1:10" x14ac:dyDescent="0.2">
      <c r="A13" s="198" t="s">
        <v>103</v>
      </c>
      <c r="B13" s="353"/>
      <c r="C13" s="200" t="s">
        <v>104</v>
      </c>
      <c r="D13" s="354">
        <f t="shared" ref="D13:I13" si="3">1-D12</f>
        <v>0.39249999999999996</v>
      </c>
      <c r="E13" s="355">
        <f t="shared" si="3"/>
        <v>0.32499999999999996</v>
      </c>
      <c r="F13" s="355">
        <f t="shared" si="3"/>
        <v>0.28553199381626071</v>
      </c>
      <c r="G13" s="355">
        <f t="shared" si="3"/>
        <v>0.21356799999999965</v>
      </c>
      <c r="H13" s="355">
        <f t="shared" si="3"/>
        <v>0.33174999999999999</v>
      </c>
      <c r="I13" s="356">
        <f t="shared" si="3"/>
        <v>0.39249999999999996</v>
      </c>
      <c r="J13" s="113"/>
    </row>
    <row r="14" spans="1:10" x14ac:dyDescent="0.2">
      <c r="A14" s="122" t="s">
        <v>105</v>
      </c>
      <c r="B14" s="120">
        <v>9</v>
      </c>
      <c r="C14" s="121" t="s">
        <v>106</v>
      </c>
      <c r="D14" s="210">
        <f t="shared" ref="D14:I14" si="4">D9*(D12/(1-D12))</f>
        <v>1547770.7006369431</v>
      </c>
      <c r="E14" s="133">
        <f t="shared" si="4"/>
        <v>2076923.0769230775</v>
      </c>
      <c r="F14" s="133">
        <f t="shared" si="4"/>
        <v>2502234.5014110683</v>
      </c>
      <c r="G14" s="133">
        <f t="shared" si="4"/>
        <v>3682349.4156428003</v>
      </c>
      <c r="H14" s="133">
        <f t="shared" si="4"/>
        <v>2014318.0105501132</v>
      </c>
      <c r="I14" s="134">
        <f t="shared" si="4"/>
        <v>3095541.4012738862</v>
      </c>
      <c r="J14" s="113"/>
    </row>
    <row r="15" spans="1:10" x14ac:dyDescent="0.2">
      <c r="A15" s="198" t="s">
        <v>12</v>
      </c>
      <c r="B15" s="199">
        <v>10</v>
      </c>
      <c r="C15" s="200" t="s">
        <v>107</v>
      </c>
      <c r="D15" s="212">
        <f t="shared" ref="D15:I15" si="5">D8/D14</f>
        <v>1.9382716049382711</v>
      </c>
      <c r="E15" s="213">
        <f t="shared" si="5"/>
        <v>1.444444444444444</v>
      </c>
      <c r="F15" s="213">
        <f t="shared" si="5"/>
        <v>1.1989283971219444</v>
      </c>
      <c r="G15" s="213">
        <f t="shared" si="5"/>
        <v>0.81469726562499833</v>
      </c>
      <c r="H15" s="213">
        <f t="shared" si="5"/>
        <v>1.6382716049382715</v>
      </c>
      <c r="I15" s="214">
        <f t="shared" si="5"/>
        <v>0.96913580246913555</v>
      </c>
      <c r="J15" s="113"/>
    </row>
    <row r="16" spans="1:10" x14ac:dyDescent="0.2">
      <c r="A16" s="122" t="s">
        <v>108</v>
      </c>
      <c r="B16" s="113"/>
      <c r="C16" s="113"/>
      <c r="D16" s="209">
        <f t="shared" ref="D16:I16" si="6">D5*D12</f>
        <v>15187500.000000002</v>
      </c>
      <c r="E16" s="148">
        <f t="shared" si="6"/>
        <v>15187500.000000002</v>
      </c>
      <c r="F16" s="148">
        <f t="shared" si="6"/>
        <v>17861700.154593483</v>
      </c>
      <c r="G16" s="148">
        <f t="shared" si="6"/>
        <v>19660800.000000007</v>
      </c>
      <c r="H16" s="148">
        <f t="shared" si="6"/>
        <v>16706250</v>
      </c>
      <c r="I16" s="149">
        <f t="shared" si="6"/>
        <v>15187500.000000002</v>
      </c>
      <c r="J16" s="113"/>
    </row>
    <row r="17" spans="1:10" x14ac:dyDescent="0.2">
      <c r="A17" s="122" t="s">
        <v>109</v>
      </c>
      <c r="B17" s="113"/>
      <c r="C17" s="113"/>
      <c r="D17" s="209">
        <f t="shared" ref="D17:I17" si="7">D5*D13</f>
        <v>9812499.9999999981</v>
      </c>
      <c r="E17" s="148">
        <f t="shared" si="7"/>
        <v>7312499.9999999991</v>
      </c>
      <c r="F17" s="148">
        <f t="shared" si="7"/>
        <v>7138299.8454065174</v>
      </c>
      <c r="G17" s="148">
        <f t="shared" si="7"/>
        <v>5339199.9999999916</v>
      </c>
      <c r="H17" s="148">
        <f t="shared" si="7"/>
        <v>8293750</v>
      </c>
      <c r="I17" s="149">
        <f t="shared" si="7"/>
        <v>9812499.9999999981</v>
      </c>
      <c r="J17" s="113"/>
    </row>
    <row r="18" spans="1:10" x14ac:dyDescent="0.2">
      <c r="A18" s="122" t="s">
        <v>110</v>
      </c>
      <c r="B18" s="113"/>
      <c r="C18" s="113"/>
      <c r="D18" s="209">
        <f t="shared" ref="D18:I18" si="8">D8</f>
        <v>3000000</v>
      </c>
      <c r="E18" s="148">
        <f t="shared" si="8"/>
        <v>3000000</v>
      </c>
      <c r="F18" s="148">
        <f t="shared" si="8"/>
        <v>3000000</v>
      </c>
      <c r="G18" s="148">
        <f t="shared" si="8"/>
        <v>3000000</v>
      </c>
      <c r="H18" s="148">
        <f t="shared" si="8"/>
        <v>3300000</v>
      </c>
      <c r="I18" s="149">
        <f t="shared" si="8"/>
        <v>3000000</v>
      </c>
      <c r="J18" s="113"/>
    </row>
    <row r="19" spans="1:10" ht="16" thickBot="1" x14ac:dyDescent="0.25">
      <c r="A19" s="135" t="s">
        <v>111</v>
      </c>
      <c r="B19" s="136"/>
      <c r="C19" s="136"/>
      <c r="D19" s="211">
        <f t="shared" ref="D19:I19" si="9">D10-D18</f>
        <v>1938271.6049382715</v>
      </c>
      <c r="E19" s="150">
        <f t="shared" si="9"/>
        <v>1444444.444444444</v>
      </c>
      <c r="F19" s="150">
        <f t="shared" si="9"/>
        <v>1198928.3971219445</v>
      </c>
      <c r="G19" s="150">
        <f t="shared" si="9"/>
        <v>814697.26562499814</v>
      </c>
      <c r="H19" s="150">
        <f t="shared" si="9"/>
        <v>1638271.6049382715</v>
      </c>
      <c r="I19" s="151">
        <f t="shared" si="9"/>
        <v>1938271.6049382715</v>
      </c>
      <c r="J19" s="113"/>
    </row>
    <row r="20" spans="1:10" x14ac:dyDescent="0.2">
      <c r="A20" s="113"/>
      <c r="B20" s="113"/>
      <c r="C20" s="113"/>
      <c r="D20" s="113"/>
      <c r="E20" s="113"/>
      <c r="F20" s="113"/>
      <c r="G20" s="113"/>
      <c r="H20" s="113"/>
      <c r="I20" s="113"/>
      <c r="J20" s="113"/>
    </row>
    <row r="21" spans="1:10" x14ac:dyDescent="0.2">
      <c r="A21" s="113"/>
      <c r="B21" s="113"/>
      <c r="C21" s="137" t="s">
        <v>112</v>
      </c>
      <c r="D21" s="113"/>
      <c r="E21" s="113"/>
      <c r="F21" s="113"/>
      <c r="G21" s="113"/>
      <c r="H21" s="113"/>
      <c r="I21" s="113"/>
      <c r="J21" s="113"/>
    </row>
    <row r="22" spans="1:10" x14ac:dyDescent="0.2">
      <c r="A22" s="113"/>
      <c r="B22" s="120">
        <v>1</v>
      </c>
      <c r="C22" s="370" t="s">
        <v>113</v>
      </c>
      <c r="D22" s="371"/>
      <c r="E22" s="371"/>
      <c r="F22" s="371"/>
      <c r="G22" s="371"/>
      <c r="H22" s="371"/>
      <c r="I22" s="113"/>
      <c r="J22" s="113"/>
    </row>
    <row r="23" spans="1:10" x14ac:dyDescent="0.2">
      <c r="A23" s="113"/>
      <c r="B23" s="120">
        <v>2</v>
      </c>
      <c r="C23" s="370" t="s">
        <v>114</v>
      </c>
      <c r="D23" s="371"/>
      <c r="E23" s="371"/>
      <c r="F23" s="371"/>
      <c r="G23" s="371"/>
      <c r="H23" s="371"/>
      <c r="I23" s="113"/>
      <c r="J23" s="113"/>
    </row>
    <row r="24" spans="1:10" x14ac:dyDescent="0.2">
      <c r="A24" s="113"/>
      <c r="B24" s="120">
        <v>3</v>
      </c>
      <c r="C24" s="370" t="s">
        <v>115</v>
      </c>
      <c r="D24" s="371"/>
      <c r="E24" s="371"/>
      <c r="F24" s="371"/>
      <c r="G24" s="371"/>
      <c r="H24" s="371"/>
      <c r="I24" s="113"/>
      <c r="J24" s="113"/>
    </row>
    <row r="25" spans="1:10" x14ac:dyDescent="0.2">
      <c r="A25" s="113"/>
      <c r="B25" s="120">
        <v>4</v>
      </c>
      <c r="C25" s="370" t="s">
        <v>116</v>
      </c>
      <c r="D25" s="371"/>
      <c r="E25" s="371"/>
      <c r="F25" s="371"/>
      <c r="G25" s="371"/>
      <c r="H25" s="371"/>
      <c r="I25" s="113"/>
      <c r="J25" s="113"/>
    </row>
    <row r="26" spans="1:10" x14ac:dyDescent="0.2">
      <c r="A26" s="113"/>
      <c r="B26" s="120">
        <v>5</v>
      </c>
      <c r="C26" s="370" t="s">
        <v>117</v>
      </c>
      <c r="D26" s="371"/>
      <c r="E26" s="371"/>
      <c r="F26" s="371"/>
      <c r="G26" s="371"/>
      <c r="H26" s="371"/>
      <c r="I26" s="113"/>
      <c r="J26" s="113"/>
    </row>
    <row r="27" spans="1:10" x14ac:dyDescent="0.2">
      <c r="A27" s="113"/>
      <c r="B27" s="120">
        <v>6</v>
      </c>
      <c r="C27" s="370" t="s">
        <v>118</v>
      </c>
      <c r="D27" s="371"/>
      <c r="E27" s="371"/>
      <c r="F27" s="371"/>
      <c r="G27" s="371"/>
      <c r="H27" s="371"/>
      <c r="I27" s="113"/>
      <c r="J27" s="113"/>
    </row>
    <row r="28" spans="1:10" x14ac:dyDescent="0.2">
      <c r="A28" s="113"/>
      <c r="B28" s="120">
        <v>7</v>
      </c>
      <c r="C28" s="370" t="s">
        <v>119</v>
      </c>
      <c r="D28" s="371"/>
      <c r="E28" s="371"/>
      <c r="F28" s="371"/>
      <c r="G28" s="371"/>
      <c r="H28" s="371"/>
      <c r="I28" s="113"/>
      <c r="J28" s="113"/>
    </row>
    <row r="29" spans="1:10" x14ac:dyDescent="0.2">
      <c r="A29" s="113"/>
      <c r="B29" s="120">
        <v>8</v>
      </c>
      <c r="C29" s="370" t="s">
        <v>120</v>
      </c>
      <c r="D29" s="371"/>
      <c r="E29" s="371"/>
      <c r="F29" s="371"/>
      <c r="G29" s="371"/>
      <c r="H29" s="371"/>
      <c r="I29" s="113"/>
      <c r="J29" s="113"/>
    </row>
    <row r="30" spans="1:10" x14ac:dyDescent="0.2">
      <c r="A30" s="113"/>
      <c r="B30" s="139">
        <v>9</v>
      </c>
      <c r="C30" s="372" t="s">
        <v>121</v>
      </c>
      <c r="D30" s="371"/>
      <c r="E30" s="371"/>
      <c r="F30" s="371"/>
      <c r="G30" s="371"/>
      <c r="H30" s="371"/>
      <c r="I30" s="113"/>
      <c r="J30" s="113"/>
    </row>
    <row r="31" spans="1:10" x14ac:dyDescent="0.2">
      <c r="A31" s="113"/>
      <c r="B31" s="120">
        <v>10</v>
      </c>
      <c r="C31" s="370" t="s">
        <v>122</v>
      </c>
      <c r="D31" s="371"/>
      <c r="E31" s="371"/>
      <c r="F31" s="371"/>
      <c r="G31" s="371"/>
      <c r="H31" s="371"/>
      <c r="I31" s="113"/>
      <c r="J31" s="113"/>
    </row>
    <row r="32" spans="1:10" x14ac:dyDescent="0.2">
      <c r="A32" s="166" t="s">
        <v>126</v>
      </c>
      <c r="B32" s="120"/>
      <c r="C32" s="138"/>
      <c r="D32" s="113"/>
      <c r="E32" s="113"/>
      <c r="F32" s="113"/>
      <c r="G32" s="113"/>
      <c r="H32" s="113"/>
      <c r="I32" s="113"/>
      <c r="J32" s="113"/>
    </row>
    <row r="33" spans="1:10" x14ac:dyDescent="0.2">
      <c r="A33" s="113"/>
      <c r="B33" s="113"/>
      <c r="C33" s="113"/>
      <c r="D33" s="113"/>
      <c r="E33" s="113"/>
      <c r="F33" s="113"/>
      <c r="G33" s="113"/>
      <c r="H33" s="113"/>
      <c r="I33" s="113"/>
      <c r="J33" s="113"/>
    </row>
  </sheetData>
  <mergeCells count="10">
    <mergeCell ref="C28:H28"/>
    <mergeCell ref="C29:H29"/>
    <mergeCell ref="C30:H30"/>
    <mergeCell ref="C31:H31"/>
    <mergeCell ref="C22:H22"/>
    <mergeCell ref="C23:H23"/>
    <mergeCell ref="C24:H24"/>
    <mergeCell ref="C25:H25"/>
    <mergeCell ref="C26:H26"/>
    <mergeCell ref="C27:H27"/>
  </mergeCells>
  <hyperlinks>
    <hyperlink ref="A2" r:id="rId1" xr:uid="{3D6EC33D-0A0E-B348-910D-26B64010AF89}"/>
  </hyperlinks>
  <pageMargins left="0.7" right="0.7" top="0.75" bottom="0.75" header="0.3" footer="0.3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6D95-5AED-0542-9AF2-D77B33E45D0D}">
  <dimension ref="A1:C14"/>
  <sheetViews>
    <sheetView zoomScale="120" zoomScaleNormal="120" workbookViewId="0">
      <selection activeCell="A12" sqref="A12:C12"/>
    </sheetView>
  </sheetViews>
  <sheetFormatPr baseColWidth="10" defaultRowHeight="15" x14ac:dyDescent="0.2"/>
  <cols>
    <col min="1" max="1" width="58.33203125" customWidth="1"/>
    <col min="2" max="2" width="21.83203125" bestFit="1" customWidth="1"/>
    <col min="3" max="3" width="17.83203125" customWidth="1"/>
  </cols>
  <sheetData>
    <row r="1" spans="1:3" ht="19" x14ac:dyDescent="0.25">
      <c r="A1" s="222" t="s">
        <v>129</v>
      </c>
    </row>
    <row r="2" spans="1:3" ht="17" thickBot="1" x14ac:dyDescent="0.25">
      <c r="A2" s="223" t="s">
        <v>81</v>
      </c>
      <c r="B2" s="224" t="s">
        <v>80</v>
      </c>
      <c r="C2" s="217"/>
    </row>
    <row r="3" spans="1:3" ht="34" x14ac:dyDescent="0.2">
      <c r="A3" s="227" t="s">
        <v>130</v>
      </c>
      <c r="B3" s="228" t="s">
        <v>131</v>
      </c>
      <c r="C3" s="229" t="s">
        <v>132</v>
      </c>
    </row>
    <row r="4" spans="1:3" ht="17" x14ac:dyDescent="0.2">
      <c r="A4" s="230" t="s">
        <v>133</v>
      </c>
      <c r="B4" s="225" t="s">
        <v>140</v>
      </c>
      <c r="C4" s="226">
        <v>250000</v>
      </c>
    </row>
    <row r="5" spans="1:3" ht="17" x14ac:dyDescent="0.2">
      <c r="A5" s="230" t="s">
        <v>134</v>
      </c>
      <c r="B5" s="225" t="s">
        <v>140</v>
      </c>
      <c r="C5" s="226">
        <v>350000</v>
      </c>
    </row>
    <row r="6" spans="1:3" ht="17" x14ac:dyDescent="0.2">
      <c r="A6" s="230" t="s">
        <v>135</v>
      </c>
      <c r="B6" s="225" t="s">
        <v>140</v>
      </c>
      <c r="C6" s="226">
        <v>300000</v>
      </c>
    </row>
    <row r="7" spans="1:3" ht="21" customHeight="1" x14ac:dyDescent="0.2">
      <c r="A7" s="230" t="s">
        <v>136</v>
      </c>
      <c r="B7" s="225" t="s">
        <v>141</v>
      </c>
      <c r="C7" s="226">
        <v>100000</v>
      </c>
    </row>
    <row r="8" spans="1:3" ht="17" x14ac:dyDescent="0.2">
      <c r="A8" s="230" t="s">
        <v>137</v>
      </c>
      <c r="B8" s="225" t="s">
        <v>140</v>
      </c>
      <c r="C8" s="226">
        <v>50000</v>
      </c>
    </row>
    <row r="9" spans="1:3" ht="17" thickBot="1" x14ac:dyDescent="0.25">
      <c r="A9" s="375" t="s">
        <v>138</v>
      </c>
      <c r="B9" s="376"/>
      <c r="C9" s="231">
        <f>SUM(C4:C8)</f>
        <v>1050000</v>
      </c>
    </row>
    <row r="10" spans="1:3" ht="16" x14ac:dyDescent="0.2">
      <c r="A10" s="217"/>
      <c r="B10" s="218"/>
      <c r="C10" s="217"/>
    </row>
    <row r="11" spans="1:3" ht="16" x14ac:dyDescent="0.2">
      <c r="A11" s="219" t="s">
        <v>112</v>
      </c>
      <c r="B11" s="218"/>
      <c r="C11" s="217"/>
    </row>
    <row r="12" spans="1:3" ht="49" customHeight="1" x14ac:dyDescent="0.2">
      <c r="A12" s="373" t="s">
        <v>139</v>
      </c>
      <c r="B12" s="374"/>
      <c r="C12" s="374"/>
    </row>
    <row r="13" spans="1:3" ht="16" x14ac:dyDescent="0.2">
      <c r="A13" s="217"/>
      <c r="B13" s="218"/>
      <c r="C13" s="217"/>
    </row>
    <row r="14" spans="1:3" ht="16" x14ac:dyDescent="0.2">
      <c r="A14" s="217" t="s">
        <v>126</v>
      </c>
      <c r="B14" s="218"/>
      <c r="C14" s="217"/>
    </row>
  </sheetData>
  <mergeCells count="2">
    <mergeCell ref="A12:C12"/>
    <mergeCell ref="A9:B9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98EC-4BCA-0548-8774-A13378ACF8CB}">
  <dimension ref="A1:F31"/>
  <sheetViews>
    <sheetView zoomScale="140" zoomScaleNormal="140" workbookViewId="0">
      <selection activeCell="C17" sqref="C17"/>
    </sheetView>
  </sheetViews>
  <sheetFormatPr baseColWidth="10" defaultRowHeight="16" x14ac:dyDescent="0.2"/>
  <cols>
    <col min="1" max="1" width="43.5" style="221" customWidth="1"/>
    <col min="2" max="2" width="13.6640625" style="221" customWidth="1"/>
    <col min="3" max="3" width="14.6640625" style="221" bestFit="1" customWidth="1"/>
    <col min="4" max="4" width="14" style="221" bestFit="1" customWidth="1"/>
    <col min="5" max="5" width="11.5" style="221" bestFit="1" customWidth="1"/>
    <col min="6" max="16384" width="10.83203125" style="221"/>
  </cols>
  <sheetData>
    <row r="1" spans="1:6" ht="19" x14ac:dyDescent="0.25">
      <c r="A1" s="222" t="s">
        <v>142</v>
      </c>
      <c r="B1" s="217"/>
      <c r="C1" s="217"/>
      <c r="F1" s="217"/>
    </row>
    <row r="2" spans="1:6" x14ac:dyDescent="0.2">
      <c r="A2" s="223" t="s">
        <v>81</v>
      </c>
      <c r="B2" s="232" t="s">
        <v>80</v>
      </c>
      <c r="C2" s="217"/>
      <c r="D2" s="217"/>
      <c r="E2" s="217"/>
      <c r="F2" s="217"/>
    </row>
    <row r="3" spans="1:6" x14ac:dyDescent="0.2">
      <c r="A3" s="233"/>
      <c r="B3" s="234"/>
      <c r="C3" s="217"/>
      <c r="D3" s="217"/>
      <c r="E3" s="217"/>
      <c r="F3" s="217"/>
    </row>
    <row r="4" spans="1:6" ht="17" thickBot="1" x14ac:dyDescent="0.25">
      <c r="A4" s="29" t="s">
        <v>143</v>
      </c>
      <c r="B4" s="217"/>
      <c r="C4" s="217"/>
      <c r="D4" s="217"/>
      <c r="E4" s="217"/>
      <c r="F4" s="217"/>
    </row>
    <row r="5" spans="1:6" x14ac:dyDescent="0.2">
      <c r="A5" s="236" t="s">
        <v>144</v>
      </c>
      <c r="B5" s="237" t="s">
        <v>145</v>
      </c>
      <c r="D5" s="217"/>
      <c r="E5" s="217"/>
      <c r="F5" s="217"/>
    </row>
    <row r="6" spans="1:6" x14ac:dyDescent="0.2">
      <c r="A6" s="238" t="s">
        <v>146</v>
      </c>
      <c r="B6" s="239">
        <v>2100000</v>
      </c>
      <c r="D6" s="217"/>
      <c r="E6" s="217"/>
      <c r="F6" s="217"/>
    </row>
    <row r="7" spans="1:6" x14ac:dyDescent="0.2">
      <c r="A7" s="238" t="s">
        <v>147</v>
      </c>
      <c r="B7" s="239">
        <v>1800000</v>
      </c>
      <c r="D7" s="217"/>
      <c r="E7" s="217"/>
      <c r="F7" s="217"/>
    </row>
    <row r="8" spans="1:6" x14ac:dyDescent="0.2">
      <c r="A8" s="238" t="s">
        <v>148</v>
      </c>
      <c r="B8" s="239">
        <v>3000000</v>
      </c>
      <c r="D8" s="217"/>
      <c r="E8" s="217"/>
      <c r="F8" s="217"/>
    </row>
    <row r="9" spans="1:6" ht="17" thickBot="1" x14ac:dyDescent="0.25">
      <c r="A9" s="240" t="s">
        <v>149</v>
      </c>
      <c r="B9" s="241">
        <v>4000000</v>
      </c>
      <c r="D9" s="217"/>
      <c r="E9" s="217"/>
      <c r="F9" s="217"/>
    </row>
    <row r="10" spans="1:6" x14ac:dyDescent="0.2">
      <c r="A10" s="217"/>
      <c r="B10" s="217"/>
      <c r="C10" s="235"/>
      <c r="D10" s="217"/>
      <c r="E10" s="217"/>
      <c r="F10" s="217"/>
    </row>
    <row r="11" spans="1:6" ht="17" thickBot="1" x14ac:dyDescent="0.25">
      <c r="A11" s="29" t="s">
        <v>150</v>
      </c>
      <c r="B11" s="217"/>
      <c r="C11" s="217"/>
      <c r="D11" s="217"/>
      <c r="E11" s="217"/>
      <c r="F11" s="217"/>
    </row>
    <row r="12" spans="1:6" ht="17" thickBot="1" x14ac:dyDescent="0.25">
      <c r="A12" s="256" t="s">
        <v>151</v>
      </c>
      <c r="B12" s="257"/>
      <c r="C12" s="243">
        <f>SUM(B6:B9)/COUNT(B6:B9)</f>
        <v>2725000</v>
      </c>
      <c r="D12" s="217"/>
      <c r="E12" s="217"/>
      <c r="F12" s="217"/>
    </row>
    <row r="13" spans="1:6" x14ac:dyDescent="0.2">
      <c r="A13" s="217"/>
      <c r="B13" s="217"/>
      <c r="C13" s="217"/>
      <c r="D13" s="217"/>
      <c r="E13" s="217"/>
      <c r="F13" s="217"/>
    </row>
    <row r="14" spans="1:6" x14ac:dyDescent="0.2">
      <c r="A14" s="29" t="s">
        <v>152</v>
      </c>
      <c r="B14" s="217"/>
      <c r="C14" s="217"/>
      <c r="D14" s="217"/>
      <c r="E14" s="217"/>
      <c r="F14" s="217"/>
    </row>
    <row r="15" spans="1:6" ht="17" thickBot="1" x14ac:dyDescent="0.25">
      <c r="A15" s="217"/>
      <c r="B15" s="217"/>
      <c r="C15" s="217"/>
      <c r="D15" s="217"/>
      <c r="E15" s="217"/>
      <c r="F15" s="217"/>
    </row>
    <row r="16" spans="1:6" ht="34" x14ac:dyDescent="0.2">
      <c r="A16" s="249" t="s">
        <v>130</v>
      </c>
      <c r="B16" s="250" t="s">
        <v>153</v>
      </c>
      <c r="C16" s="250" t="s">
        <v>154</v>
      </c>
      <c r="D16" s="251" t="s">
        <v>155</v>
      </c>
      <c r="F16" s="217"/>
    </row>
    <row r="17" spans="1:6" ht="17" x14ac:dyDescent="0.2">
      <c r="A17" s="230" t="s">
        <v>156</v>
      </c>
      <c r="B17" s="258">
        <v>0.3</v>
      </c>
      <c r="C17" s="242">
        <v>1.5</v>
      </c>
      <c r="D17" s="259">
        <f t="shared" ref="D17:D23" si="0">B17*C17</f>
        <v>0.44999999999999996</v>
      </c>
      <c r="F17" s="217"/>
    </row>
    <row r="18" spans="1:6" ht="17" x14ac:dyDescent="0.2">
      <c r="A18" s="230" t="s">
        <v>157</v>
      </c>
      <c r="B18" s="258">
        <v>0.25</v>
      </c>
      <c r="C18" s="242">
        <v>1.25</v>
      </c>
      <c r="D18" s="259">
        <f t="shared" si="0"/>
        <v>0.3125</v>
      </c>
      <c r="F18" s="217"/>
    </row>
    <row r="19" spans="1:6" ht="17" x14ac:dyDescent="0.2">
      <c r="A19" s="230" t="s">
        <v>158</v>
      </c>
      <c r="B19" s="258">
        <v>0.15</v>
      </c>
      <c r="C19" s="242">
        <v>1.25</v>
      </c>
      <c r="D19" s="259">
        <f t="shared" si="0"/>
        <v>0.1875</v>
      </c>
      <c r="F19" s="217"/>
    </row>
    <row r="20" spans="1:6" ht="17" x14ac:dyDescent="0.2">
      <c r="A20" s="230" t="s">
        <v>159</v>
      </c>
      <c r="B20" s="258">
        <v>0.1</v>
      </c>
      <c r="C20" s="242">
        <v>0.75</v>
      </c>
      <c r="D20" s="259">
        <f t="shared" si="0"/>
        <v>7.5000000000000011E-2</v>
      </c>
      <c r="F20" s="217"/>
    </row>
    <row r="21" spans="1:6" ht="17" x14ac:dyDescent="0.2">
      <c r="A21" s="230" t="s">
        <v>160</v>
      </c>
      <c r="B21" s="258">
        <v>0.1</v>
      </c>
      <c r="C21" s="242">
        <v>1</v>
      </c>
      <c r="D21" s="259">
        <f t="shared" si="0"/>
        <v>0.1</v>
      </c>
      <c r="F21" s="217"/>
    </row>
    <row r="22" spans="1:6" ht="17" x14ac:dyDescent="0.2">
      <c r="A22" s="230" t="s">
        <v>161</v>
      </c>
      <c r="B22" s="258">
        <v>0.05</v>
      </c>
      <c r="C22" s="242">
        <v>1</v>
      </c>
      <c r="D22" s="259">
        <f t="shared" si="0"/>
        <v>0.05</v>
      </c>
      <c r="F22" s="217"/>
    </row>
    <row r="23" spans="1:6" ht="18" thickBot="1" x14ac:dyDescent="0.25">
      <c r="A23" s="230" t="s">
        <v>162</v>
      </c>
      <c r="B23" s="258">
        <v>0.05</v>
      </c>
      <c r="C23" s="242">
        <v>1</v>
      </c>
      <c r="D23" s="260">
        <f t="shared" si="0"/>
        <v>0.05</v>
      </c>
      <c r="F23" s="217"/>
    </row>
    <row r="24" spans="1:6" x14ac:dyDescent="0.2">
      <c r="A24" s="252" t="s">
        <v>164</v>
      </c>
      <c r="B24" s="248"/>
      <c r="C24" s="244"/>
      <c r="D24" s="245">
        <f>SUM(D17:D23)</f>
        <v>1.2250000000000001</v>
      </c>
      <c r="F24" s="217"/>
    </row>
    <row r="25" spans="1:6" x14ac:dyDescent="0.2">
      <c r="A25" s="252" t="s">
        <v>165</v>
      </c>
      <c r="B25" s="248"/>
      <c r="C25" s="244"/>
      <c r="D25" s="246">
        <f>C12</f>
        <v>2725000</v>
      </c>
      <c r="F25" s="217"/>
    </row>
    <row r="26" spans="1:6" ht="17" thickBot="1" x14ac:dyDescent="0.25">
      <c r="A26" s="253" t="s">
        <v>166</v>
      </c>
      <c r="B26" s="254"/>
      <c r="C26" s="255"/>
      <c r="D26" s="247">
        <f>C12*D24</f>
        <v>3338125.0000000005</v>
      </c>
      <c r="F26" s="217"/>
    </row>
    <row r="27" spans="1:6" x14ac:dyDescent="0.2">
      <c r="A27" s="217"/>
      <c r="F27" s="217"/>
    </row>
    <row r="28" spans="1:6" x14ac:dyDescent="0.2">
      <c r="A28" s="262" t="s">
        <v>73</v>
      </c>
      <c r="B28" s="217"/>
      <c r="C28" s="217"/>
      <c r="D28" s="217"/>
      <c r="E28" s="217"/>
      <c r="F28" s="217"/>
    </row>
    <row r="29" spans="1:6" ht="118" customHeight="1" x14ac:dyDescent="0.2">
      <c r="A29" s="220" t="s">
        <v>163</v>
      </c>
      <c r="B29" s="261"/>
      <c r="C29" s="261"/>
      <c r="D29" s="261"/>
      <c r="F29" s="217"/>
    </row>
    <row r="30" spans="1:6" x14ac:dyDescent="0.2">
      <c r="A30" s="217"/>
      <c r="B30" s="217"/>
      <c r="C30" s="217"/>
      <c r="D30" s="217"/>
      <c r="E30" s="217"/>
      <c r="F30" s="217"/>
    </row>
    <row r="31" spans="1:6" x14ac:dyDescent="0.2">
      <c r="A31" s="217" t="s">
        <v>126</v>
      </c>
      <c r="B31" s="217"/>
      <c r="C31" s="217"/>
      <c r="D31" s="217"/>
      <c r="E31" s="217"/>
      <c r="F31" s="217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E7B9-B545-6048-A174-0EBA57FB946C}">
  <dimension ref="A2:K68"/>
  <sheetViews>
    <sheetView tabSelected="1" zoomScale="120" zoomScaleNormal="120" workbookViewId="0">
      <selection activeCell="B9" sqref="B9"/>
    </sheetView>
  </sheetViews>
  <sheetFormatPr baseColWidth="10" defaultRowHeight="15" x14ac:dyDescent="0.2"/>
  <cols>
    <col min="1" max="1" width="3.1640625" customWidth="1"/>
    <col min="2" max="2" width="34.1640625" customWidth="1"/>
    <col min="3" max="3" width="14.6640625" bestFit="1" customWidth="1"/>
    <col min="4" max="6" width="13.6640625" bestFit="1" customWidth="1"/>
    <col min="7" max="7" width="17" customWidth="1"/>
    <col min="8" max="8" width="14.6640625" bestFit="1" customWidth="1"/>
    <col min="9" max="9" width="14.83203125" bestFit="1" customWidth="1"/>
    <col min="11" max="11" width="14.6640625" bestFit="1" customWidth="1"/>
  </cols>
  <sheetData>
    <row r="2" spans="1:11" ht="26" x14ac:dyDescent="0.3">
      <c r="A2" s="343" t="s">
        <v>210</v>
      </c>
      <c r="B2" s="342"/>
    </row>
    <row r="3" spans="1:11" ht="16" thickBot="1" x14ac:dyDescent="0.25"/>
    <row r="4" spans="1:11" ht="22" thickBot="1" x14ac:dyDescent="0.3">
      <c r="B4" s="380" t="s">
        <v>167</v>
      </c>
      <c r="C4" s="381"/>
      <c r="D4" s="381"/>
      <c r="E4" s="381"/>
      <c r="F4" s="381"/>
      <c r="G4" s="381"/>
      <c r="H4" s="381"/>
      <c r="I4" s="382"/>
    </row>
    <row r="5" spans="1:11" x14ac:dyDescent="0.2">
      <c r="B5" s="263" t="s">
        <v>168</v>
      </c>
      <c r="C5" s="76"/>
      <c r="D5" s="76"/>
      <c r="E5" s="76"/>
      <c r="F5" s="76"/>
      <c r="G5" s="264" t="s">
        <v>169</v>
      </c>
      <c r="H5" s="265"/>
      <c r="I5" s="336">
        <v>3000000</v>
      </c>
      <c r="K5" s="266"/>
    </row>
    <row r="6" spans="1:11" x14ac:dyDescent="0.2">
      <c r="B6" s="263" t="s">
        <v>170</v>
      </c>
      <c r="C6" s="76"/>
      <c r="D6" s="76"/>
      <c r="E6" s="76"/>
      <c r="F6" s="76"/>
      <c r="G6" s="267" t="s">
        <v>171</v>
      </c>
      <c r="H6" s="268"/>
      <c r="I6" s="337">
        <v>10500000</v>
      </c>
    </row>
    <row r="7" spans="1:11" x14ac:dyDescent="0.2">
      <c r="B7" s="263" t="s">
        <v>172</v>
      </c>
      <c r="C7" s="76"/>
      <c r="D7" s="76"/>
      <c r="E7" s="76"/>
      <c r="F7" s="76"/>
      <c r="G7" s="269" t="s">
        <v>173</v>
      </c>
      <c r="H7" s="270"/>
      <c r="I7" s="338">
        <v>10000000</v>
      </c>
    </row>
    <row r="8" spans="1:11" x14ac:dyDescent="0.2">
      <c r="B8" s="263" t="s">
        <v>174</v>
      </c>
      <c r="C8" s="76"/>
      <c r="D8" s="76"/>
      <c r="E8" s="76"/>
      <c r="F8" s="76"/>
      <c r="G8" s="267" t="s">
        <v>175</v>
      </c>
      <c r="H8" s="268"/>
      <c r="I8" s="339">
        <f>I5+I6</f>
        <v>13500000</v>
      </c>
    </row>
    <row r="9" spans="1:11" x14ac:dyDescent="0.2">
      <c r="B9" s="263" t="s">
        <v>216</v>
      </c>
      <c r="C9" s="76"/>
      <c r="D9" s="76"/>
      <c r="E9" s="76"/>
      <c r="F9" s="76"/>
      <c r="G9" s="269" t="s">
        <v>176</v>
      </c>
      <c r="H9" s="270"/>
      <c r="I9" s="340">
        <f>I6/I7</f>
        <v>1.05</v>
      </c>
    </row>
    <row r="10" spans="1:11" ht="16" thickBot="1" x14ac:dyDescent="0.25">
      <c r="B10" s="271" t="s">
        <v>211</v>
      </c>
      <c r="C10" s="76"/>
      <c r="D10" s="76"/>
      <c r="E10" s="76"/>
      <c r="F10" s="76"/>
      <c r="G10" s="272" t="s">
        <v>177</v>
      </c>
      <c r="H10" s="273"/>
      <c r="I10" s="341">
        <f>I5/I9</f>
        <v>2857142.8571428568</v>
      </c>
    </row>
    <row r="11" spans="1:11" x14ac:dyDescent="0.2">
      <c r="B11" s="263"/>
      <c r="C11" s="76"/>
      <c r="D11" s="76"/>
      <c r="E11" s="76"/>
      <c r="F11" s="76"/>
      <c r="G11" s="76"/>
      <c r="H11" s="76"/>
      <c r="I11" s="74"/>
    </row>
    <row r="12" spans="1:11" ht="16" thickBot="1" x14ac:dyDescent="0.25">
      <c r="B12" s="263"/>
      <c r="C12" s="76"/>
      <c r="D12" s="76"/>
      <c r="E12" s="76"/>
      <c r="F12" s="76"/>
      <c r="G12" s="76"/>
      <c r="H12" s="76"/>
      <c r="I12" s="74"/>
    </row>
    <row r="13" spans="1:11" ht="16" thickBot="1" x14ac:dyDescent="0.25">
      <c r="B13" s="274" t="s">
        <v>178</v>
      </c>
      <c r="C13" s="275" t="s">
        <v>179</v>
      </c>
      <c r="D13" s="276" t="s">
        <v>180</v>
      </c>
      <c r="E13" s="76"/>
      <c r="F13" s="76"/>
      <c r="G13" s="277" t="s">
        <v>181</v>
      </c>
      <c r="H13" s="80"/>
      <c r="I13" s="74"/>
    </row>
    <row r="14" spans="1:11" ht="16" thickBot="1" x14ac:dyDescent="0.25">
      <c r="B14" s="278" t="s">
        <v>182</v>
      </c>
      <c r="C14" s="279">
        <f>I10</f>
        <v>2857142.8571428568</v>
      </c>
      <c r="D14" s="280">
        <f>I5/I8</f>
        <v>0.22222222222222221</v>
      </c>
      <c r="E14" s="76"/>
      <c r="F14" s="76"/>
      <c r="G14" s="281" t="s">
        <v>183</v>
      </c>
      <c r="H14" s="282"/>
      <c r="I14" s="74"/>
    </row>
    <row r="15" spans="1:11" x14ac:dyDescent="0.2">
      <c r="B15" s="283" t="s">
        <v>184</v>
      </c>
      <c r="C15" s="284">
        <f>I7</f>
        <v>10000000</v>
      </c>
      <c r="D15" s="285">
        <f>D16-D14</f>
        <v>0.77777777777777779</v>
      </c>
      <c r="E15" s="76"/>
      <c r="F15" s="76"/>
      <c r="G15" s="76"/>
      <c r="H15" s="76"/>
      <c r="I15" s="74"/>
    </row>
    <row r="16" spans="1:11" ht="16" thickBot="1" x14ac:dyDescent="0.25">
      <c r="B16" s="286" t="s">
        <v>185</v>
      </c>
      <c r="C16" s="287">
        <f>SUM(C14:C15)</f>
        <v>12857142.857142856</v>
      </c>
      <c r="D16" s="288">
        <v>1</v>
      </c>
      <c r="E16" s="76"/>
      <c r="F16" s="76"/>
      <c r="G16" s="76"/>
      <c r="H16" s="76"/>
      <c r="I16" s="74"/>
    </row>
    <row r="17" spans="1:9" x14ac:dyDescent="0.2">
      <c r="B17" s="263"/>
      <c r="C17" s="76"/>
      <c r="D17" s="76"/>
      <c r="E17" s="76"/>
      <c r="F17" s="76"/>
      <c r="G17" s="76"/>
      <c r="H17" s="76"/>
      <c r="I17" s="74"/>
    </row>
    <row r="18" spans="1:9" ht="16" thickBot="1" x14ac:dyDescent="0.25">
      <c r="B18" s="289"/>
      <c r="C18" s="79"/>
      <c r="D18" s="79"/>
      <c r="E18" s="79"/>
      <c r="F18" s="290"/>
      <c r="G18" s="79"/>
      <c r="H18" s="79"/>
      <c r="I18" s="81"/>
    </row>
    <row r="20" spans="1:9" ht="16" thickBot="1" x14ac:dyDescent="0.25"/>
    <row r="21" spans="1:9" ht="21" x14ac:dyDescent="0.25">
      <c r="A21" s="383" t="s">
        <v>186</v>
      </c>
      <c r="B21" s="384"/>
      <c r="C21" s="384"/>
      <c r="D21" s="384"/>
      <c r="E21" s="384"/>
      <c r="F21" s="384"/>
      <c r="G21" s="384"/>
      <c r="H21" s="384"/>
      <c r="I21" s="385"/>
    </row>
    <row r="22" spans="1:9" x14ac:dyDescent="0.2">
      <c r="A22" s="291"/>
      <c r="B22" s="292"/>
      <c r="C22" s="292"/>
      <c r="D22" s="292"/>
      <c r="E22" s="292"/>
      <c r="F22" s="292"/>
      <c r="G22" s="292"/>
      <c r="H22" s="292"/>
      <c r="I22" s="293"/>
    </row>
    <row r="23" spans="1:9" x14ac:dyDescent="0.2">
      <c r="A23" s="291"/>
      <c r="B23" s="294" t="s">
        <v>187</v>
      </c>
      <c r="C23" s="292"/>
      <c r="D23" s="292"/>
      <c r="E23" s="292"/>
      <c r="F23" s="292"/>
      <c r="G23" s="292"/>
      <c r="H23" s="292"/>
      <c r="I23" s="293"/>
    </row>
    <row r="24" spans="1:9" x14ac:dyDescent="0.2">
      <c r="A24" s="291"/>
      <c r="B24" s="294" t="s">
        <v>208</v>
      </c>
      <c r="C24" s="292"/>
      <c r="D24" s="292"/>
      <c r="E24" s="292"/>
      <c r="F24" s="292"/>
      <c r="G24" s="292"/>
      <c r="H24" s="292"/>
      <c r="I24" s="293"/>
    </row>
    <row r="25" spans="1:9" ht="16" thickBot="1" x14ac:dyDescent="0.25">
      <c r="A25" s="291"/>
      <c r="B25" s="292"/>
      <c r="C25" s="292"/>
      <c r="D25" s="292"/>
      <c r="E25" s="292"/>
      <c r="F25" s="292"/>
      <c r="G25" s="292"/>
      <c r="H25" s="292"/>
      <c r="I25" s="293"/>
    </row>
    <row r="26" spans="1:9" x14ac:dyDescent="0.2">
      <c r="A26" s="291"/>
      <c r="B26" s="295"/>
      <c r="C26" s="386" t="s">
        <v>188</v>
      </c>
      <c r="D26" s="378"/>
      <c r="E26" s="378"/>
      <c r="F26" s="378"/>
      <c r="G26" s="378"/>
      <c r="H26" s="378"/>
      <c r="I26" s="379"/>
    </row>
    <row r="27" spans="1:9" ht="16" thickBot="1" x14ac:dyDescent="0.25">
      <c r="A27" s="291"/>
      <c r="B27" s="334" t="s">
        <v>205</v>
      </c>
      <c r="C27" s="296">
        <v>5000000</v>
      </c>
      <c r="D27" s="297">
        <v>10000000</v>
      </c>
      <c r="E27" s="297">
        <v>15000000</v>
      </c>
      <c r="F27" s="297">
        <v>20000000</v>
      </c>
      <c r="G27" s="297">
        <v>50000000</v>
      </c>
      <c r="H27" s="297">
        <v>100000000</v>
      </c>
      <c r="I27" s="298">
        <v>150000000</v>
      </c>
    </row>
    <row r="28" spans="1:9" x14ac:dyDescent="0.2">
      <c r="A28" s="291"/>
      <c r="B28" s="299" t="s">
        <v>189</v>
      </c>
      <c r="C28" s="300">
        <f t="shared" ref="C28:I29" si="0">C$27*$D14</f>
        <v>1111111.111111111</v>
      </c>
      <c r="D28" s="300">
        <f t="shared" si="0"/>
        <v>2222222.222222222</v>
      </c>
      <c r="E28" s="300">
        <f t="shared" si="0"/>
        <v>3333333.333333333</v>
      </c>
      <c r="F28" s="300">
        <f t="shared" si="0"/>
        <v>4444444.444444444</v>
      </c>
      <c r="G28" s="300">
        <f t="shared" si="0"/>
        <v>11111111.11111111</v>
      </c>
      <c r="H28" s="300">
        <f t="shared" si="0"/>
        <v>22222222.22222222</v>
      </c>
      <c r="I28" s="301">
        <f t="shared" si="0"/>
        <v>33333333.333333332</v>
      </c>
    </row>
    <row r="29" spans="1:9" ht="16" thickBot="1" x14ac:dyDescent="0.25">
      <c r="A29" s="291"/>
      <c r="B29" s="302" t="s">
        <v>190</v>
      </c>
      <c r="C29" s="303">
        <f t="shared" si="0"/>
        <v>3888888.888888889</v>
      </c>
      <c r="D29" s="303">
        <f t="shared" si="0"/>
        <v>7777777.777777778</v>
      </c>
      <c r="E29" s="303">
        <f t="shared" si="0"/>
        <v>11666666.666666666</v>
      </c>
      <c r="F29" s="303">
        <f t="shared" si="0"/>
        <v>15555555.555555556</v>
      </c>
      <c r="G29" s="303">
        <f t="shared" si="0"/>
        <v>38888888.888888888</v>
      </c>
      <c r="H29" s="303">
        <f t="shared" si="0"/>
        <v>77777777.777777776</v>
      </c>
      <c r="I29" s="304">
        <f t="shared" si="0"/>
        <v>116666666.66666667</v>
      </c>
    </row>
    <row r="30" spans="1:9" ht="16" thickBot="1" x14ac:dyDescent="0.25">
      <c r="A30" s="305"/>
      <c r="B30" s="306" t="s">
        <v>191</v>
      </c>
      <c r="C30" s="307" t="str">
        <f t="shared" ref="C30:I30" si="1">IF(SUM(C28:C29)=C27,"-","error")</f>
        <v>-</v>
      </c>
      <c r="D30" s="307" t="str">
        <f t="shared" si="1"/>
        <v>-</v>
      </c>
      <c r="E30" s="307" t="str">
        <f t="shared" si="1"/>
        <v>-</v>
      </c>
      <c r="F30" s="307" t="str">
        <f t="shared" si="1"/>
        <v>-</v>
      </c>
      <c r="G30" s="307" t="str">
        <f t="shared" si="1"/>
        <v>-</v>
      </c>
      <c r="H30" s="307" t="str">
        <f t="shared" si="1"/>
        <v>-</v>
      </c>
      <c r="I30" s="308" t="str">
        <f t="shared" si="1"/>
        <v>-</v>
      </c>
    </row>
    <row r="32" spans="1:9" ht="16" thickBot="1" x14ac:dyDescent="0.25"/>
    <row r="33" spans="1:9" ht="21" x14ac:dyDescent="0.25">
      <c r="A33" s="383" t="s">
        <v>206</v>
      </c>
      <c r="B33" s="384"/>
      <c r="C33" s="384"/>
      <c r="D33" s="384"/>
      <c r="E33" s="384"/>
      <c r="F33" s="384"/>
      <c r="G33" s="384"/>
      <c r="H33" s="384"/>
      <c r="I33" s="385"/>
    </row>
    <row r="34" spans="1:9" x14ac:dyDescent="0.2">
      <c r="A34" s="291"/>
      <c r="B34" s="292"/>
      <c r="C34" s="292"/>
      <c r="D34" s="292"/>
      <c r="E34" s="292"/>
      <c r="F34" s="292"/>
      <c r="G34" s="292"/>
      <c r="H34" s="292"/>
      <c r="I34" s="293"/>
    </row>
    <row r="35" spans="1:9" x14ac:dyDescent="0.2">
      <c r="A35" s="291"/>
      <c r="B35" s="294" t="s">
        <v>192</v>
      </c>
      <c r="C35" s="292"/>
      <c r="D35" s="292"/>
      <c r="E35" s="292"/>
      <c r="F35" s="292"/>
      <c r="G35" s="292"/>
      <c r="H35" s="292"/>
      <c r="I35" s="293"/>
    </row>
    <row r="36" spans="1:9" x14ac:dyDescent="0.2">
      <c r="A36" s="291"/>
      <c r="B36" s="309" t="s">
        <v>193</v>
      </c>
      <c r="C36" s="292"/>
      <c r="D36" s="292"/>
      <c r="E36" s="292"/>
      <c r="F36" s="292"/>
      <c r="G36" s="292"/>
      <c r="H36" s="292"/>
      <c r="I36" s="293"/>
    </row>
    <row r="37" spans="1:9" x14ac:dyDescent="0.2">
      <c r="A37" s="291"/>
      <c r="B37" s="292" t="s">
        <v>194</v>
      </c>
      <c r="C37" s="292"/>
      <c r="D37" s="292"/>
      <c r="E37" s="292"/>
      <c r="F37" s="292"/>
      <c r="G37" s="292"/>
      <c r="H37" s="292"/>
      <c r="I37" s="293"/>
    </row>
    <row r="38" spans="1:9" x14ac:dyDescent="0.2">
      <c r="A38" s="291"/>
      <c r="B38" s="292" t="s">
        <v>213</v>
      </c>
      <c r="C38" s="292"/>
      <c r="D38" s="292"/>
      <c r="E38" s="292"/>
      <c r="F38" s="292"/>
      <c r="G38" s="292"/>
      <c r="H38" s="292"/>
      <c r="I38" s="293"/>
    </row>
    <row r="39" spans="1:9" x14ac:dyDescent="0.2">
      <c r="A39" s="291"/>
      <c r="B39" s="292" t="s">
        <v>195</v>
      </c>
      <c r="C39" s="292"/>
      <c r="D39" s="292"/>
      <c r="E39" s="292"/>
      <c r="F39" s="292"/>
      <c r="G39" s="292"/>
      <c r="H39" s="292"/>
      <c r="I39" s="293"/>
    </row>
    <row r="40" spans="1:9" ht="16" thickBot="1" x14ac:dyDescent="0.25">
      <c r="A40" s="291"/>
      <c r="B40" s="292"/>
      <c r="C40" s="292"/>
      <c r="D40" s="292"/>
      <c r="E40" s="292"/>
      <c r="F40" s="292"/>
      <c r="G40" s="292"/>
      <c r="H40" s="292"/>
      <c r="I40" s="293"/>
    </row>
    <row r="41" spans="1:9" ht="16" thickBot="1" x14ac:dyDescent="0.25">
      <c r="A41" s="291"/>
      <c r="B41" s="310" t="s">
        <v>196</v>
      </c>
      <c r="C41" s="344">
        <v>1</v>
      </c>
      <c r="D41" s="292"/>
      <c r="E41" s="292"/>
      <c r="F41" s="292"/>
      <c r="G41" s="292"/>
      <c r="H41" s="292"/>
      <c r="I41" s="293"/>
    </row>
    <row r="42" spans="1:9" x14ac:dyDescent="0.2">
      <c r="A42" s="291"/>
      <c r="B42" s="295"/>
      <c r="C42" s="378" t="s">
        <v>188</v>
      </c>
      <c r="D42" s="378"/>
      <c r="E42" s="378"/>
      <c r="F42" s="378"/>
      <c r="G42" s="378"/>
      <c r="H42" s="378"/>
      <c r="I42" s="379"/>
    </row>
    <row r="43" spans="1:9" ht="16" thickBot="1" x14ac:dyDescent="0.25">
      <c r="A43" s="291"/>
      <c r="B43" s="334" t="s">
        <v>205</v>
      </c>
      <c r="C43" s="296">
        <v>5000000</v>
      </c>
      <c r="D43" s="297">
        <v>10000000</v>
      </c>
      <c r="E43" s="297">
        <v>15000000</v>
      </c>
      <c r="F43" s="297">
        <v>20000000</v>
      </c>
      <c r="G43" s="297">
        <v>50000000</v>
      </c>
      <c r="H43" s="297">
        <v>100000000</v>
      </c>
      <c r="I43" s="298">
        <v>150000000</v>
      </c>
    </row>
    <row r="44" spans="1:9" x14ac:dyDescent="0.2">
      <c r="A44" s="291"/>
      <c r="B44" s="311" t="s">
        <v>209</v>
      </c>
      <c r="C44" s="312">
        <f t="shared" ref="C44:I44" si="2">IF($C$41*$I$5&lt;C43,($C$41*$I$5),C43)</f>
        <v>3000000</v>
      </c>
      <c r="D44" s="312">
        <f t="shared" si="2"/>
        <v>3000000</v>
      </c>
      <c r="E44" s="312">
        <f t="shared" si="2"/>
        <v>3000000</v>
      </c>
      <c r="F44" s="312">
        <f t="shared" si="2"/>
        <v>3000000</v>
      </c>
      <c r="G44" s="312">
        <f t="shared" si="2"/>
        <v>3000000</v>
      </c>
      <c r="H44" s="312">
        <f t="shared" si="2"/>
        <v>3000000</v>
      </c>
      <c r="I44" s="313">
        <f t="shared" si="2"/>
        <v>3000000</v>
      </c>
    </row>
    <row r="45" spans="1:9" x14ac:dyDescent="0.2">
      <c r="A45" s="291"/>
      <c r="B45" s="311" t="s">
        <v>212</v>
      </c>
      <c r="C45" s="312">
        <f t="shared" ref="C45:I45" si="3">$D$14*C43</f>
        <v>1111111.111111111</v>
      </c>
      <c r="D45" s="312">
        <f t="shared" si="3"/>
        <v>2222222.222222222</v>
      </c>
      <c r="E45" s="312">
        <f t="shared" si="3"/>
        <v>3333333.333333333</v>
      </c>
      <c r="F45" s="312">
        <f t="shared" si="3"/>
        <v>4444444.444444444</v>
      </c>
      <c r="G45" s="312">
        <f t="shared" si="3"/>
        <v>11111111.11111111</v>
      </c>
      <c r="H45" s="312">
        <f t="shared" si="3"/>
        <v>22222222.22222222</v>
      </c>
      <c r="I45" s="313">
        <f t="shared" si="3"/>
        <v>33333333.333333332</v>
      </c>
    </row>
    <row r="46" spans="1:9" x14ac:dyDescent="0.2">
      <c r="A46" s="291"/>
      <c r="B46" s="311" t="s">
        <v>197</v>
      </c>
      <c r="C46" s="314" t="str">
        <f>IF(C44&gt;C45,"Liq Pref","Convert")</f>
        <v>Liq Pref</v>
      </c>
      <c r="D46" s="314" t="str">
        <f t="shared" ref="D46:I46" si="4">IF(D44&gt;D45,"Liq Pref","Convert")</f>
        <v>Liq Pref</v>
      </c>
      <c r="E46" s="314" t="str">
        <f t="shared" si="4"/>
        <v>Convert</v>
      </c>
      <c r="F46" s="314" t="str">
        <f t="shared" si="4"/>
        <v>Convert</v>
      </c>
      <c r="G46" s="314" t="str">
        <f t="shared" si="4"/>
        <v>Convert</v>
      </c>
      <c r="H46" s="314" t="str">
        <f t="shared" si="4"/>
        <v>Convert</v>
      </c>
      <c r="I46" s="315" t="str">
        <f t="shared" si="4"/>
        <v>Convert</v>
      </c>
    </row>
    <row r="47" spans="1:9" x14ac:dyDescent="0.2">
      <c r="A47" s="291"/>
      <c r="B47" s="316" t="s">
        <v>198</v>
      </c>
      <c r="C47" s="317">
        <f>MAX(C44:C45)</f>
        <v>3000000</v>
      </c>
      <c r="D47" s="317">
        <f t="shared" ref="D47:I47" si="5">MAX(D44:D45)</f>
        <v>3000000</v>
      </c>
      <c r="E47" s="317">
        <f t="shared" si="5"/>
        <v>3333333.333333333</v>
      </c>
      <c r="F47" s="317">
        <f t="shared" si="5"/>
        <v>4444444.444444444</v>
      </c>
      <c r="G47" s="317">
        <f t="shared" si="5"/>
        <v>11111111.11111111</v>
      </c>
      <c r="H47" s="317">
        <f t="shared" si="5"/>
        <v>22222222.22222222</v>
      </c>
      <c r="I47" s="318">
        <f t="shared" si="5"/>
        <v>33333333.333333332</v>
      </c>
    </row>
    <row r="48" spans="1:9" x14ac:dyDescent="0.2">
      <c r="A48" s="291"/>
      <c r="B48" s="96" t="s">
        <v>199</v>
      </c>
      <c r="C48" s="319">
        <f>C43-C47</f>
        <v>2000000</v>
      </c>
      <c r="D48" s="319">
        <f t="shared" ref="D48:I48" si="6">D43-D47</f>
        <v>7000000</v>
      </c>
      <c r="E48" s="319">
        <f t="shared" si="6"/>
        <v>11666666.666666668</v>
      </c>
      <c r="F48" s="319">
        <f t="shared" si="6"/>
        <v>15555555.555555556</v>
      </c>
      <c r="G48" s="319">
        <f t="shared" si="6"/>
        <v>38888888.888888888</v>
      </c>
      <c r="H48" s="319">
        <f t="shared" si="6"/>
        <v>77777777.777777776</v>
      </c>
      <c r="I48" s="320">
        <f t="shared" si="6"/>
        <v>116666666.66666667</v>
      </c>
    </row>
    <row r="49" spans="1:9" ht="16" thickBot="1" x14ac:dyDescent="0.25">
      <c r="A49" s="305"/>
      <c r="B49" s="321" t="s">
        <v>191</v>
      </c>
      <c r="C49" s="322" t="str">
        <f t="shared" ref="C49:I49" si="7">IF(SUM(C47:C48)=C43,"-","error")</f>
        <v>-</v>
      </c>
      <c r="D49" s="322" t="str">
        <f t="shared" si="7"/>
        <v>-</v>
      </c>
      <c r="E49" s="322" t="str">
        <f t="shared" si="7"/>
        <v>-</v>
      </c>
      <c r="F49" s="322" t="str">
        <f t="shared" si="7"/>
        <v>-</v>
      </c>
      <c r="G49" s="322" t="str">
        <f t="shared" si="7"/>
        <v>-</v>
      </c>
      <c r="H49" s="322" t="str">
        <f t="shared" si="7"/>
        <v>-</v>
      </c>
      <c r="I49" s="323" t="str">
        <f t="shared" si="7"/>
        <v>-</v>
      </c>
    </row>
    <row r="51" spans="1:9" ht="16" thickBot="1" x14ac:dyDescent="0.25"/>
    <row r="52" spans="1:9" ht="21" x14ac:dyDescent="0.25">
      <c r="A52" s="383" t="s">
        <v>207</v>
      </c>
      <c r="B52" s="384"/>
      <c r="C52" s="384"/>
      <c r="D52" s="384"/>
      <c r="E52" s="384"/>
      <c r="F52" s="384"/>
      <c r="G52" s="384"/>
      <c r="H52" s="384"/>
      <c r="I52" s="385"/>
    </row>
    <row r="53" spans="1:9" x14ac:dyDescent="0.2">
      <c r="A53" s="291"/>
      <c r="B53" s="292"/>
      <c r="C53" s="292"/>
      <c r="D53" s="292"/>
      <c r="E53" s="292"/>
      <c r="F53" s="292"/>
      <c r="G53" s="292"/>
      <c r="H53" s="292"/>
      <c r="I53" s="293"/>
    </row>
    <row r="54" spans="1:9" x14ac:dyDescent="0.2">
      <c r="A54" s="291"/>
      <c r="B54" s="294" t="s">
        <v>200</v>
      </c>
      <c r="C54" s="309"/>
      <c r="D54" s="292"/>
      <c r="E54" s="292"/>
      <c r="F54" s="292"/>
      <c r="G54" s="292"/>
      <c r="H54" s="292"/>
      <c r="I54" s="293"/>
    </row>
    <row r="55" spans="1:9" x14ac:dyDescent="0.2">
      <c r="A55" s="291"/>
      <c r="B55" s="309" t="s">
        <v>201</v>
      </c>
      <c r="C55" s="309"/>
      <c r="D55" s="292"/>
      <c r="E55" s="292"/>
      <c r="F55" s="292"/>
      <c r="G55" s="292"/>
      <c r="H55" s="292"/>
      <c r="I55" s="293"/>
    </row>
    <row r="56" spans="1:9" x14ac:dyDescent="0.2">
      <c r="A56" s="291"/>
      <c r="B56" s="292" t="s">
        <v>194</v>
      </c>
      <c r="C56" s="292"/>
      <c r="D56" s="292"/>
      <c r="E56" s="292"/>
      <c r="F56" s="292"/>
      <c r="G56" s="292"/>
      <c r="H56" s="292"/>
      <c r="I56" s="293"/>
    </row>
    <row r="57" spans="1:9" x14ac:dyDescent="0.2">
      <c r="A57" s="291"/>
      <c r="B57" s="292" t="s">
        <v>214</v>
      </c>
      <c r="C57" s="292"/>
      <c r="D57" s="292"/>
      <c r="E57" s="292"/>
      <c r="F57" s="292"/>
      <c r="G57" s="292"/>
      <c r="H57" s="292"/>
      <c r="I57" s="293"/>
    </row>
    <row r="58" spans="1:9" x14ac:dyDescent="0.2">
      <c r="A58" s="291"/>
      <c r="B58" s="292" t="s">
        <v>215</v>
      </c>
      <c r="C58" s="292"/>
      <c r="D58" s="292"/>
      <c r="E58" s="292"/>
      <c r="F58" s="292"/>
      <c r="G58" s="292"/>
      <c r="H58" s="292"/>
      <c r="I58" s="293"/>
    </row>
    <row r="59" spans="1:9" x14ac:dyDescent="0.2">
      <c r="A59" s="291"/>
      <c r="B59" s="346" t="s">
        <v>202</v>
      </c>
      <c r="C59" s="292"/>
      <c r="D59" s="292"/>
      <c r="E59" s="292"/>
      <c r="F59" s="292"/>
      <c r="G59" s="292"/>
      <c r="H59" s="292"/>
      <c r="I59" s="293"/>
    </row>
    <row r="60" spans="1:9" ht="16" thickBot="1" x14ac:dyDescent="0.25">
      <c r="A60" s="291"/>
      <c r="B60" s="292"/>
      <c r="C60" s="292"/>
      <c r="D60" s="292"/>
      <c r="E60" s="292"/>
      <c r="F60" s="292"/>
      <c r="G60" s="292"/>
      <c r="H60" s="292"/>
      <c r="I60" s="293"/>
    </row>
    <row r="61" spans="1:9" ht="16" thickBot="1" x14ac:dyDescent="0.25">
      <c r="A61" s="291"/>
      <c r="B61" s="324" t="s">
        <v>196</v>
      </c>
      <c r="C61" s="345">
        <v>1</v>
      </c>
      <c r="D61" s="292"/>
      <c r="E61" s="292"/>
      <c r="F61" s="292"/>
      <c r="G61" s="292"/>
      <c r="H61" s="292"/>
      <c r="I61" s="293"/>
    </row>
    <row r="62" spans="1:9" x14ac:dyDescent="0.2">
      <c r="A62" s="291"/>
      <c r="B62" s="325"/>
      <c r="C62" s="377" t="s">
        <v>188</v>
      </c>
      <c r="D62" s="378"/>
      <c r="E62" s="378"/>
      <c r="F62" s="378"/>
      <c r="G62" s="378"/>
      <c r="H62" s="378"/>
      <c r="I62" s="379"/>
    </row>
    <row r="63" spans="1:9" ht="16" thickBot="1" x14ac:dyDescent="0.25">
      <c r="A63" s="291"/>
      <c r="B63" s="335" t="s">
        <v>205</v>
      </c>
      <c r="C63" s="297">
        <v>5000000</v>
      </c>
      <c r="D63" s="297">
        <v>10000000</v>
      </c>
      <c r="E63" s="297">
        <v>15000000</v>
      </c>
      <c r="F63" s="297">
        <v>20000000</v>
      </c>
      <c r="G63" s="297">
        <v>50000000</v>
      </c>
      <c r="H63" s="297">
        <v>100000000</v>
      </c>
      <c r="I63" s="298">
        <v>150000000</v>
      </c>
    </row>
    <row r="64" spans="1:9" x14ac:dyDescent="0.2">
      <c r="A64" s="291"/>
      <c r="B64" s="311" t="s">
        <v>209</v>
      </c>
      <c r="C64" s="326">
        <f t="shared" ref="C64:I64" si="8">IF(($C$61*$I$5)&lt;C63,$C$61*$I$5,C63)</f>
        <v>3000000</v>
      </c>
      <c r="D64" s="312">
        <f t="shared" si="8"/>
        <v>3000000</v>
      </c>
      <c r="E64" s="312">
        <f t="shared" si="8"/>
        <v>3000000</v>
      </c>
      <c r="F64" s="312">
        <f t="shared" si="8"/>
        <v>3000000</v>
      </c>
      <c r="G64" s="312">
        <f t="shared" si="8"/>
        <v>3000000</v>
      </c>
      <c r="H64" s="312">
        <f t="shared" si="8"/>
        <v>3000000</v>
      </c>
      <c r="I64" s="313">
        <f t="shared" si="8"/>
        <v>3000000</v>
      </c>
    </row>
    <row r="65" spans="1:9" x14ac:dyDescent="0.2">
      <c r="A65" s="291"/>
      <c r="B65" s="311" t="s">
        <v>203</v>
      </c>
      <c r="C65" s="326">
        <f t="shared" ref="C65:I65" si="9">(C63-C64)*$D$14</f>
        <v>444444.44444444444</v>
      </c>
      <c r="D65" s="312">
        <f t="shared" si="9"/>
        <v>1555555.5555555555</v>
      </c>
      <c r="E65" s="312">
        <f t="shared" si="9"/>
        <v>2666666.6666666665</v>
      </c>
      <c r="F65" s="312">
        <f t="shared" si="9"/>
        <v>3777777.7777777775</v>
      </c>
      <c r="G65" s="312">
        <f t="shared" si="9"/>
        <v>10444444.444444444</v>
      </c>
      <c r="H65" s="312">
        <f t="shared" si="9"/>
        <v>21555555.555555556</v>
      </c>
      <c r="I65" s="313">
        <f t="shared" si="9"/>
        <v>32666666.666666664</v>
      </c>
    </row>
    <row r="66" spans="1:9" x14ac:dyDescent="0.2">
      <c r="A66" s="291"/>
      <c r="B66" s="327" t="s">
        <v>204</v>
      </c>
      <c r="C66" s="328">
        <f>SUM(C64:C65)</f>
        <v>3444444.4444444445</v>
      </c>
      <c r="D66" s="317">
        <f t="shared" ref="D66:I66" si="10">SUM(D64:D65)</f>
        <v>4555555.555555556</v>
      </c>
      <c r="E66" s="317">
        <f t="shared" si="10"/>
        <v>5666666.666666666</v>
      </c>
      <c r="F66" s="317">
        <f t="shared" si="10"/>
        <v>6777777.777777778</v>
      </c>
      <c r="G66" s="317">
        <f t="shared" si="10"/>
        <v>13444444.444444444</v>
      </c>
      <c r="H66" s="317">
        <f t="shared" si="10"/>
        <v>24555555.555555556</v>
      </c>
      <c r="I66" s="318">
        <f t="shared" si="10"/>
        <v>35666666.666666664</v>
      </c>
    </row>
    <row r="67" spans="1:9" x14ac:dyDescent="0.2">
      <c r="A67" s="291"/>
      <c r="B67" s="329" t="s">
        <v>199</v>
      </c>
      <c r="C67" s="330">
        <f t="shared" ref="C67:I67" si="11">C63-C66</f>
        <v>1555555.5555555555</v>
      </c>
      <c r="D67" s="319">
        <f t="shared" si="11"/>
        <v>5444444.444444444</v>
      </c>
      <c r="E67" s="319">
        <f t="shared" si="11"/>
        <v>9333333.333333334</v>
      </c>
      <c r="F67" s="319">
        <f t="shared" si="11"/>
        <v>13222222.222222222</v>
      </c>
      <c r="G67" s="319">
        <f t="shared" si="11"/>
        <v>36555555.555555552</v>
      </c>
      <c r="H67" s="319">
        <f t="shared" si="11"/>
        <v>75444444.444444448</v>
      </c>
      <c r="I67" s="320">
        <f t="shared" si="11"/>
        <v>114333333.33333334</v>
      </c>
    </row>
    <row r="68" spans="1:9" ht="16" thickBot="1" x14ac:dyDescent="0.25">
      <c r="A68" s="305"/>
      <c r="B68" s="331" t="s">
        <v>191</v>
      </c>
      <c r="C68" s="322" t="str">
        <f t="shared" ref="C68:I68" si="12">IF(SUM(C66:C67)=C63,"-","error")</f>
        <v>-</v>
      </c>
      <c r="D68" s="322" t="str">
        <f t="shared" si="12"/>
        <v>-</v>
      </c>
      <c r="E68" s="322" t="str">
        <f t="shared" si="12"/>
        <v>-</v>
      </c>
      <c r="F68" s="322" t="str">
        <f t="shared" si="12"/>
        <v>-</v>
      </c>
      <c r="G68" s="322" t="str">
        <f t="shared" si="12"/>
        <v>-</v>
      </c>
      <c r="H68" s="322" t="str">
        <f t="shared" si="12"/>
        <v>-</v>
      </c>
      <c r="I68" s="323" t="str">
        <f t="shared" si="12"/>
        <v>-</v>
      </c>
    </row>
  </sheetData>
  <mergeCells count="7">
    <mergeCell ref="C62:I62"/>
    <mergeCell ref="B4:I4"/>
    <mergeCell ref="A21:I21"/>
    <mergeCell ref="C26:I26"/>
    <mergeCell ref="A33:I33"/>
    <mergeCell ref="C42:I42"/>
    <mergeCell ref="A52:I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Equity Comparables Method</vt:lpstr>
      <vt:lpstr>Venture Capital Method 1 round</vt:lpstr>
      <vt:lpstr>Venture Capital Method 2 rounds</vt:lpstr>
      <vt:lpstr>Cap table (lower R1 value)</vt:lpstr>
      <vt:lpstr>Cap table (higher R1 value)</vt:lpstr>
      <vt:lpstr>Quick VCM Sensitivity</vt:lpstr>
      <vt:lpstr>Berkus</vt:lpstr>
      <vt:lpstr>Scorecard</vt:lpstr>
      <vt:lpstr>ConvPartPref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Gill</dc:creator>
  <cp:keywords/>
  <dc:description/>
  <cp:lastModifiedBy>David Gill</cp:lastModifiedBy>
  <cp:lastPrinted>2022-10-24T10:16:40Z</cp:lastPrinted>
  <dcterms:created xsi:type="dcterms:W3CDTF">2019-07-10T04:59:06Z</dcterms:created>
  <dcterms:modified xsi:type="dcterms:W3CDTF">2024-04-17T11:54:31Z</dcterms:modified>
  <cp:category/>
</cp:coreProperties>
</file>