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bonthirteencom-my.sharepoint.com/personal/jack_carbonthirteen_com/Documents/Investments/Fundraising Resources/"/>
    </mc:Choice>
  </mc:AlternateContent>
  <xr:revisionPtr revIDLastSave="0" documentId="13_ncr:1_{3A2A5861-7D91-FC4D-BCBC-5C77B70613E7}" xr6:coauthVersionLast="47" xr6:coauthVersionMax="47" xr10:uidLastSave="{00000000-0000-0000-0000-000000000000}"/>
  <bookViews>
    <workbookView xWindow="28680" yWindow="-120" windowWidth="29040" windowHeight="15720" firstSheet="6" activeTab="8" xr2:uid="{3B0BA0AA-9C61-41A0-B29C-715BC0714C6F}"/>
  </bookViews>
  <sheets>
    <sheet name="Berkus" sheetId="9" r:id="rId1"/>
    <sheet name="Scorecard" sheetId="11" r:id="rId2"/>
    <sheet name="Equity Comparables Method" sheetId="5" r:id="rId3"/>
    <sheet name="Venture Capital Method 1 round" sheetId="1" r:id="rId4"/>
    <sheet name="Venture Capital Method 2 rounds" sheetId="2" r:id="rId5"/>
    <sheet name="Cap table (lower R1 value)" sheetId="4" r:id="rId6"/>
    <sheet name="Cap table (higher R1 value)" sheetId="7" r:id="rId7"/>
    <sheet name="Quick VCM Sensitivity" sheetId="8" r:id="rId8"/>
    <sheet name="ConvPartPrefGENERAL" sheetId="12" r:id="rId9"/>
    <sheet name="ConvPartPrefGENERAL (2)" sheetId="13" r:id="rId10"/>
    <sheet name="AntiDilutionABCRounds 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2" l="1"/>
  <c r="E15" i="16"/>
  <c r="F15" i="16"/>
  <c r="F6" i="16"/>
  <c r="E6" i="16"/>
  <c r="D6" i="16"/>
  <c r="F21" i="16"/>
  <c r="E21" i="16"/>
  <c r="D21" i="16"/>
  <c r="F22" i="16"/>
  <c r="E22" i="16"/>
  <c r="D22" i="16"/>
  <c r="D7" i="16"/>
  <c r="C8" i="16"/>
  <c r="F14" i="16"/>
  <c r="F7" i="16"/>
  <c r="F9" i="16"/>
  <c r="F11" i="16"/>
  <c r="F13" i="16"/>
  <c r="F12" i="16"/>
  <c r="F23" i="16"/>
  <c r="F24" i="16"/>
  <c r="F27" i="16"/>
  <c r="F4" i="16"/>
  <c r="F16" i="16"/>
  <c r="F5" i="16"/>
  <c r="F17" i="16"/>
  <c r="F28" i="16"/>
  <c r="F29" i="16"/>
  <c r="F30" i="16"/>
  <c r="F31" i="16"/>
  <c r="F32" i="16"/>
  <c r="E23" i="16"/>
  <c r="E14" i="16"/>
  <c r="E7" i="16"/>
  <c r="E9" i="16"/>
  <c r="E11" i="16"/>
  <c r="E24" i="16"/>
  <c r="E27" i="16"/>
  <c r="E4" i="16"/>
  <c r="E16" i="16"/>
  <c r="E5" i="16"/>
  <c r="E17" i="16"/>
  <c r="E28" i="16"/>
  <c r="E29" i="16"/>
  <c r="E30" i="16"/>
  <c r="E31" i="16"/>
  <c r="E32" i="16"/>
  <c r="D23" i="16"/>
  <c r="D9" i="16"/>
  <c r="D11" i="16"/>
  <c r="D24" i="16"/>
  <c r="D27" i="16"/>
  <c r="D4" i="16"/>
  <c r="D16" i="16"/>
  <c r="D5" i="16"/>
  <c r="D17" i="16"/>
  <c r="D28" i="16"/>
  <c r="D29" i="16"/>
  <c r="D30" i="16"/>
  <c r="D31" i="16"/>
  <c r="D32" i="16"/>
  <c r="C23" i="16"/>
  <c r="C9" i="16"/>
  <c r="C11" i="16"/>
  <c r="C24" i="16"/>
  <c r="C27" i="16"/>
  <c r="C4" i="16"/>
  <c r="C16" i="16"/>
  <c r="C5" i="16"/>
  <c r="C17" i="16"/>
  <c r="C28" i="16"/>
  <c r="C29" i="16"/>
  <c r="C30" i="16"/>
  <c r="C31" i="16"/>
  <c r="C32" i="16"/>
  <c r="F26" i="16"/>
  <c r="E26" i="16"/>
  <c r="D26" i="16"/>
  <c r="C26" i="16"/>
  <c r="F25" i="16"/>
  <c r="E25" i="16"/>
  <c r="D25" i="16"/>
  <c r="C25" i="16"/>
  <c r="F18" i="16"/>
  <c r="F19" i="16"/>
  <c r="E18" i="16"/>
  <c r="E19" i="16"/>
  <c r="D18" i="16"/>
  <c r="D19" i="16"/>
  <c r="C18" i="16"/>
  <c r="C19" i="16"/>
  <c r="E13" i="16"/>
  <c r="D13" i="16"/>
  <c r="C13" i="16"/>
  <c r="E12" i="16"/>
  <c r="D12" i="16"/>
  <c r="C12" i="16"/>
  <c r="D8" i="16"/>
  <c r="E8" i="16"/>
  <c r="F8" i="16"/>
  <c r="F10" i="16"/>
  <c r="E10" i="16"/>
  <c r="D10" i="16"/>
  <c r="C10" i="16"/>
  <c r="B5" i="16"/>
  <c r="I64" i="13"/>
  <c r="I10" i="13"/>
  <c r="D14" i="13"/>
  <c r="I65" i="13"/>
  <c r="I66" i="13"/>
  <c r="I67" i="13"/>
  <c r="I68" i="13"/>
  <c r="H64" i="13"/>
  <c r="H65" i="13"/>
  <c r="H66" i="13"/>
  <c r="H67" i="13"/>
  <c r="H68" i="13"/>
  <c r="G64" i="13"/>
  <c r="G65" i="13"/>
  <c r="G66" i="13"/>
  <c r="G67" i="13"/>
  <c r="G68" i="13"/>
  <c r="F64" i="13"/>
  <c r="F65" i="13"/>
  <c r="F66" i="13"/>
  <c r="F67" i="13"/>
  <c r="F68" i="13"/>
  <c r="E64" i="13"/>
  <c r="E65" i="13"/>
  <c r="E66" i="13"/>
  <c r="E67" i="13"/>
  <c r="E68" i="13"/>
  <c r="D64" i="13"/>
  <c r="D65" i="13"/>
  <c r="D66" i="13"/>
  <c r="D67" i="13"/>
  <c r="D68" i="13"/>
  <c r="C64" i="13"/>
  <c r="C65" i="13"/>
  <c r="C66" i="13"/>
  <c r="C67" i="13"/>
  <c r="C68" i="13"/>
  <c r="I44" i="13"/>
  <c r="I45" i="13"/>
  <c r="I47" i="13"/>
  <c r="I48" i="13"/>
  <c r="I49" i="13"/>
  <c r="H44" i="13"/>
  <c r="H45" i="13"/>
  <c r="H47" i="13"/>
  <c r="H48" i="13"/>
  <c r="H49" i="13"/>
  <c r="G44" i="13"/>
  <c r="G45" i="13"/>
  <c r="G47" i="13"/>
  <c r="G48" i="13"/>
  <c r="G49" i="13"/>
  <c r="F44" i="13"/>
  <c r="F45" i="13"/>
  <c r="F47" i="13"/>
  <c r="F48" i="13"/>
  <c r="F49" i="13"/>
  <c r="E44" i="13"/>
  <c r="E45" i="13"/>
  <c r="E47" i="13"/>
  <c r="E48" i="13"/>
  <c r="E49" i="13"/>
  <c r="D44" i="13"/>
  <c r="D45" i="13"/>
  <c r="D47" i="13"/>
  <c r="D48" i="13"/>
  <c r="D49" i="13"/>
  <c r="C44" i="13"/>
  <c r="C45" i="13"/>
  <c r="C47" i="13"/>
  <c r="C48" i="13"/>
  <c r="C49" i="13"/>
  <c r="I46" i="13"/>
  <c r="H46" i="13"/>
  <c r="G46" i="13"/>
  <c r="F46" i="13"/>
  <c r="E46" i="13"/>
  <c r="D46" i="13"/>
  <c r="C46" i="13"/>
  <c r="I28" i="13"/>
  <c r="D15" i="13"/>
  <c r="I29" i="13"/>
  <c r="I30" i="13"/>
  <c r="H28" i="13"/>
  <c r="H29" i="13"/>
  <c r="H30" i="13"/>
  <c r="G28" i="13"/>
  <c r="G29" i="13"/>
  <c r="G30" i="13"/>
  <c r="F28" i="13"/>
  <c r="F29" i="13"/>
  <c r="F30" i="13"/>
  <c r="E28" i="13"/>
  <c r="E29" i="13"/>
  <c r="E30" i="13"/>
  <c r="D28" i="13"/>
  <c r="D29" i="13"/>
  <c r="D30" i="13"/>
  <c r="C28" i="13"/>
  <c r="C29" i="13"/>
  <c r="C30" i="13"/>
  <c r="I9" i="13"/>
  <c r="I11" i="13"/>
  <c r="I12" i="13"/>
  <c r="C14" i="13"/>
  <c r="C15" i="13"/>
  <c r="C16" i="13"/>
  <c r="I13" i="13"/>
  <c r="H12" i="13"/>
  <c r="H9" i="13"/>
  <c r="H8" i="13"/>
  <c r="H7" i="13"/>
  <c r="I9" i="12"/>
  <c r="I11" i="12"/>
  <c r="I12" i="12"/>
  <c r="I13" i="12"/>
  <c r="H9" i="12"/>
  <c r="H8" i="12"/>
  <c r="H12" i="12"/>
  <c r="H7" i="12"/>
  <c r="I64" i="12"/>
  <c r="H64" i="12"/>
  <c r="G64" i="12"/>
  <c r="F64" i="12"/>
  <c r="E64" i="12"/>
  <c r="D64" i="12"/>
  <c r="C64" i="12"/>
  <c r="I44" i="12"/>
  <c r="H44" i="12"/>
  <c r="G44" i="12"/>
  <c r="F44" i="12"/>
  <c r="E44" i="12"/>
  <c r="D44" i="12"/>
  <c r="C44" i="12"/>
  <c r="C15" i="12"/>
  <c r="C14" i="12"/>
  <c r="C16" i="12"/>
  <c r="D14" i="12"/>
  <c r="C12" i="11"/>
  <c r="D25" i="11"/>
  <c r="D23" i="11"/>
  <c r="D22" i="11"/>
  <c r="D21" i="11"/>
  <c r="D20" i="11"/>
  <c r="D19" i="11"/>
  <c r="D18" i="11"/>
  <c r="D17" i="11"/>
  <c r="C9" i="9"/>
  <c r="G45" i="12"/>
  <c r="G47" i="12"/>
  <c r="I45" i="12"/>
  <c r="G28" i="12"/>
  <c r="F65" i="12"/>
  <c r="F66" i="12"/>
  <c r="D65" i="12"/>
  <c r="D66" i="12"/>
  <c r="D28" i="12"/>
  <c r="E45" i="12"/>
  <c r="E47" i="12"/>
  <c r="C45" i="12"/>
  <c r="C47" i="12"/>
  <c r="I28" i="12"/>
  <c r="H45" i="12"/>
  <c r="H46" i="12"/>
  <c r="F28" i="12"/>
  <c r="G46" i="12"/>
  <c r="E28" i="12"/>
  <c r="F45" i="12"/>
  <c r="F46" i="12"/>
  <c r="C28" i="12"/>
  <c r="D15" i="12"/>
  <c r="H28" i="12"/>
  <c r="G65" i="12"/>
  <c r="G66" i="12"/>
  <c r="E65" i="12"/>
  <c r="E66" i="12"/>
  <c r="C65" i="12"/>
  <c r="C66" i="12"/>
  <c r="D45" i="12"/>
  <c r="D46" i="12"/>
  <c r="E46" i="12"/>
  <c r="F47" i="12"/>
  <c r="I65" i="12"/>
  <c r="I66" i="12"/>
  <c r="C46" i="12"/>
  <c r="H65" i="12"/>
  <c r="H66" i="12"/>
  <c r="D24" i="11"/>
  <c r="I12" i="7"/>
  <c r="C67" i="12"/>
  <c r="C68" i="12"/>
  <c r="C48" i="12"/>
  <c r="C49" i="12"/>
  <c r="E48" i="12"/>
  <c r="E49" i="12"/>
  <c r="F29" i="12"/>
  <c r="F30" i="12"/>
  <c r="D29" i="12"/>
  <c r="D30" i="12"/>
  <c r="D47" i="12"/>
  <c r="C29" i="12"/>
  <c r="H29" i="12"/>
  <c r="E29" i="12"/>
  <c r="G29" i="12"/>
  <c r="I29" i="12"/>
  <c r="I30" i="12"/>
  <c r="H47" i="12"/>
  <c r="C30" i="12"/>
  <c r="D67" i="12"/>
  <c r="D68" i="12"/>
  <c r="F48" i="12"/>
  <c r="F49" i="12"/>
  <c r="F67" i="12"/>
  <c r="F68" i="12"/>
  <c r="E67" i="12"/>
  <c r="E68" i="12"/>
  <c r="E30" i="12"/>
  <c r="G30" i="12"/>
  <c r="I67" i="12"/>
  <c r="I68" i="12"/>
  <c r="G67" i="12"/>
  <c r="G68" i="12"/>
  <c r="H30" i="12"/>
  <c r="H67" i="12"/>
  <c r="H68" i="12"/>
  <c r="I46" i="12"/>
  <c r="I47" i="12"/>
  <c r="G48" i="12"/>
  <c r="G49" i="12"/>
  <c r="I18" i="8"/>
  <c r="H18" i="8"/>
  <c r="G18" i="8"/>
  <c r="F18" i="8"/>
  <c r="E18" i="8"/>
  <c r="D18" i="8"/>
  <c r="D12" i="8"/>
  <c r="D13" i="8"/>
  <c r="D17" i="8"/>
  <c r="I10" i="8"/>
  <c r="I19" i="8"/>
  <c r="H10" i="8"/>
  <c r="H19" i="8"/>
  <c r="G10" i="8"/>
  <c r="G11" i="8"/>
  <c r="F10" i="8"/>
  <c r="F11" i="8"/>
  <c r="E10" i="8"/>
  <c r="E12" i="8"/>
  <c r="D10" i="8"/>
  <c r="D19" i="8"/>
  <c r="C19" i="2"/>
  <c r="J8" i="7"/>
  <c r="I8" i="7"/>
  <c r="E8" i="7"/>
  <c r="C8" i="7"/>
  <c r="E11" i="7"/>
  <c r="B8" i="7"/>
  <c r="K7" i="7"/>
  <c r="J7" i="7"/>
  <c r="F6" i="7"/>
  <c r="G6" i="7"/>
  <c r="J5" i="7"/>
  <c r="F5" i="7"/>
  <c r="G4" i="7"/>
  <c r="K4" i="7"/>
  <c r="D4" i="7"/>
  <c r="K3" i="7"/>
  <c r="G3" i="7"/>
  <c r="D3" i="7"/>
  <c r="D8" i="7"/>
  <c r="B8" i="4"/>
  <c r="B21" i="5"/>
  <c r="B20" i="5"/>
  <c r="B16" i="5"/>
  <c r="D48" i="12"/>
  <c r="D49" i="12"/>
  <c r="I48" i="12"/>
  <c r="I49" i="12"/>
  <c r="H48" i="12"/>
  <c r="H49" i="12"/>
  <c r="E13" i="8"/>
  <c r="E17" i="8"/>
  <c r="E16" i="8"/>
  <c r="E14" i="8"/>
  <c r="E15" i="8"/>
  <c r="H11" i="8"/>
  <c r="I11" i="8"/>
  <c r="G12" i="8"/>
  <c r="E19" i="8"/>
  <c r="D11" i="8"/>
  <c r="H12" i="8"/>
  <c r="D16" i="8"/>
  <c r="F19" i="8"/>
  <c r="E11" i="8"/>
  <c r="I12" i="8"/>
  <c r="G19" i="8"/>
  <c r="F12" i="8"/>
  <c r="D14" i="8"/>
  <c r="D15" i="8"/>
  <c r="F8" i="7"/>
  <c r="G8" i="7"/>
  <c r="E12" i="7"/>
  <c r="H3" i="7"/>
  <c r="I11" i="7"/>
  <c r="H6" i="7"/>
  <c r="K6" i="7"/>
  <c r="G5" i="7"/>
  <c r="H4" i="7"/>
  <c r="H14" i="8"/>
  <c r="H15" i="8"/>
  <c r="H13" i="8"/>
  <c r="H17" i="8"/>
  <c r="H16" i="8"/>
  <c r="G16" i="8"/>
  <c r="G13" i="8"/>
  <c r="G17" i="8"/>
  <c r="G14" i="8"/>
  <c r="G15" i="8"/>
  <c r="F16" i="8"/>
  <c r="F14" i="8"/>
  <c r="F15" i="8"/>
  <c r="F13" i="8"/>
  <c r="F17" i="8"/>
  <c r="I14" i="8"/>
  <c r="I15" i="8"/>
  <c r="I13" i="8"/>
  <c r="I17" i="8"/>
  <c r="I16" i="8"/>
  <c r="K5" i="7"/>
  <c r="H5" i="7"/>
  <c r="H8" i="7"/>
  <c r="K8" i="7"/>
  <c r="L3" i="7"/>
  <c r="L7" i="7"/>
  <c r="L4" i="7"/>
  <c r="L6" i="7"/>
  <c r="L5" i="7"/>
  <c r="L8" i="7"/>
  <c r="B6" i="1"/>
  <c r="J7" i="4"/>
  <c r="K7" i="4"/>
  <c r="I8" i="4"/>
  <c r="F6" i="4"/>
  <c r="G6" i="4"/>
  <c r="E8" i="4"/>
  <c r="K6" i="4"/>
  <c r="J5" i="4"/>
  <c r="J8" i="4"/>
  <c r="F5" i="4"/>
  <c r="B20" i="2"/>
  <c r="B19" i="1"/>
  <c r="G5" i="4"/>
  <c r="K5" i="4"/>
  <c r="F8" i="4"/>
  <c r="F9" i="5"/>
  <c r="B9" i="5"/>
  <c r="D9" i="5"/>
  <c r="C9" i="5"/>
  <c r="E9" i="5"/>
  <c r="F5" i="5"/>
  <c r="B5" i="5"/>
  <c r="D5" i="5"/>
  <c r="C5" i="5"/>
  <c r="E5" i="5"/>
  <c r="M9" i="5"/>
  <c r="B29" i="5"/>
  <c r="L9" i="5"/>
  <c r="B25" i="5"/>
  <c r="I9" i="5"/>
  <c r="H9" i="5"/>
  <c r="B17" i="5"/>
  <c r="K9" i="5"/>
  <c r="J9" i="5"/>
  <c r="I5" i="5"/>
  <c r="H5" i="5"/>
  <c r="K5" i="5"/>
  <c r="B28" i="5"/>
  <c r="J5" i="5"/>
  <c r="B24" i="5"/>
  <c r="G4" i="4"/>
  <c r="G3" i="4"/>
  <c r="K3" i="4"/>
  <c r="K4" i="4"/>
  <c r="C8" i="4"/>
  <c r="E11" i="4"/>
  <c r="K8" i="4"/>
  <c r="L7" i="4"/>
  <c r="D4" i="4"/>
  <c r="D3" i="4"/>
  <c r="G8" i="4"/>
  <c r="L6" i="4"/>
  <c r="H5" i="4"/>
  <c r="H6" i="4"/>
  <c r="D8" i="4"/>
  <c r="L5" i="4"/>
  <c r="I12" i="4"/>
  <c r="E12" i="4"/>
  <c r="I11" i="4"/>
  <c r="L3" i="4"/>
  <c r="L4" i="4"/>
  <c r="H4" i="4"/>
  <c r="H3" i="4"/>
  <c r="H8" i="4"/>
  <c r="C10" i="1"/>
  <c r="D10" i="1"/>
  <c r="E10" i="1"/>
  <c r="C9" i="1"/>
  <c r="D9" i="1"/>
  <c r="E9" i="1"/>
  <c r="L8" i="4"/>
  <c r="E25" i="1"/>
  <c r="E24" i="1"/>
  <c r="E19" i="1"/>
  <c r="E6" i="1"/>
  <c r="C13" i="1"/>
  <c r="D13" i="1"/>
  <c r="E13" i="1"/>
  <c r="B13" i="2"/>
  <c r="D25" i="1"/>
  <c r="D24" i="1"/>
  <c r="D19" i="1"/>
  <c r="D6" i="1"/>
  <c r="C25" i="1"/>
  <c r="C24" i="1"/>
  <c r="C19" i="1"/>
  <c r="C6" i="1"/>
  <c r="B13" i="1"/>
  <c r="E16" i="1"/>
  <c r="E17" i="1"/>
  <c r="E18" i="1"/>
  <c r="E20" i="1"/>
  <c r="E26" i="1"/>
  <c r="D16" i="1"/>
  <c r="D17" i="1"/>
  <c r="D18" i="1"/>
  <c r="D20" i="1"/>
  <c r="D26" i="1"/>
  <c r="C16" i="1"/>
  <c r="C17" i="1"/>
  <c r="C18" i="1"/>
  <c r="C20" i="1"/>
  <c r="C21" i="1"/>
  <c r="C30" i="1"/>
  <c r="D21" i="1"/>
  <c r="D29" i="1"/>
  <c r="E21" i="1"/>
  <c r="C26" i="1"/>
  <c r="C31" i="1"/>
  <c r="C29" i="1"/>
  <c r="D30" i="1"/>
  <c r="D31" i="1"/>
  <c r="E30" i="1"/>
  <c r="E29" i="1"/>
  <c r="E31" i="1"/>
  <c r="B26" i="2"/>
  <c r="C26" i="2"/>
  <c r="B25" i="2"/>
  <c r="C6" i="2"/>
  <c r="C17" i="2"/>
  <c r="C18" i="2"/>
  <c r="B17" i="2"/>
  <c r="B6" i="2"/>
  <c r="B25" i="1"/>
  <c r="B24" i="1"/>
  <c r="B16" i="1"/>
  <c r="B17" i="1"/>
  <c r="B18" i="1"/>
  <c r="B20" i="1"/>
  <c r="B18" i="2"/>
  <c r="B19" i="2"/>
  <c r="B21" i="2"/>
  <c r="B26" i="1"/>
  <c r="C25" i="2"/>
  <c r="B27" i="2"/>
  <c r="C27" i="2"/>
  <c r="C20" i="2"/>
  <c r="B22" i="2"/>
  <c r="B31" i="2"/>
  <c r="B21" i="1"/>
  <c r="B29" i="1"/>
  <c r="C21" i="2"/>
  <c r="C28" i="2"/>
  <c r="B30" i="1"/>
  <c r="B31" i="1"/>
  <c r="B32" i="2"/>
  <c r="B33" i="2"/>
  <c r="C22" i="2"/>
  <c r="C34" i="2"/>
  <c r="C32" i="2"/>
  <c r="C31" i="2"/>
  <c r="C33" i="2"/>
  <c r="D2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8905A77E-8DE6-E544-AB7D-3697B55FD21D}">
      <text>
        <r>
          <rPr>
            <sz val="11"/>
            <color rgb="FF000000"/>
            <rFont val="Calibri"/>
            <family val="2"/>
          </rPr>
          <t>HOW TO USE:
1. Click "File"
2. Click "Download as" to download the spreadsheet, or "Make a copy" to copy to your Google account
3. Enter assumptions in the YELLOW boxes
Note: Original worksheet is protected.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D765BB08-9A8E-ED4D-9D54-8E9F6031F2E6}">
      <text>
        <r>
          <rPr>
            <sz val="11"/>
            <color rgb="FF000000"/>
            <rFont val="Calibri"/>
            <family val="2"/>
          </rPr>
          <t xml:space="preserve">HOW TO USE: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1. Click "File"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2. Click "Download as" to download the spreadsheet, or "Make a copy" to copy to your Google account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3. Enter assumptions in the YELLOW boxes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Note: Original worksheet is protected.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" authorId="0" shapeId="0" xr:uid="{3178F101-A954-E84F-8F64-89123ADF7F59}">
      <text>
        <r>
          <rPr>
            <sz val="10"/>
            <color rgb="FF000000"/>
            <rFont val="Arial"/>
            <family val="2"/>
          </rPr>
          <t xml:space="preserve">HOW TO USE: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1. Click "File"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2. Click "Download as" to download the spreadsheet, or "Make a copy" to copy to your Google account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3. Enter assumptions in the YELLOW boxes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Note: Original worksheet is protected.</t>
        </r>
      </text>
    </comment>
  </commentList>
</comments>
</file>

<file path=xl/sharedStrings.xml><?xml version="1.0" encoding="utf-8"?>
<sst xmlns="http://schemas.openxmlformats.org/spreadsheetml/2006/main" count="488" uniqueCount="285">
  <si>
    <t>Deal assumptions</t>
  </si>
  <si>
    <t>Investment</t>
  </si>
  <si>
    <t>Time to next round/exit</t>
  </si>
  <si>
    <t>Discount rate</t>
  </si>
  <si>
    <t>Cash-on-cash multiple (by round)</t>
  </si>
  <si>
    <t>Inital shares assumption</t>
  </si>
  <si>
    <t>Founder shares</t>
  </si>
  <si>
    <t>Option pool</t>
  </si>
  <si>
    <t>Estimated exit value</t>
  </si>
  <si>
    <t>Valuation and shares</t>
  </si>
  <si>
    <t>Post-money valuation</t>
  </si>
  <si>
    <t>Pre-money valuation</t>
  </si>
  <si>
    <t>Price per share</t>
  </si>
  <si>
    <t xml:space="preserve">"Old" shares </t>
  </si>
  <si>
    <t>New shares</t>
  </si>
  <si>
    <t>Total shares</t>
  </si>
  <si>
    <t>Division of shares</t>
  </si>
  <si>
    <t>Investor shares (1st round)</t>
  </si>
  <si>
    <t>Division of ownership</t>
  </si>
  <si>
    <t>Ownership of founders</t>
  </si>
  <si>
    <t>Ownership of stock option pool</t>
  </si>
  <si>
    <t>Ownership of investors (1st round)</t>
  </si>
  <si>
    <t>Round 1</t>
  </si>
  <si>
    <t>Round 2</t>
  </si>
  <si>
    <t>VCM with two rounds</t>
  </si>
  <si>
    <t>Investor shares (2nd round)</t>
  </si>
  <si>
    <t>NA</t>
  </si>
  <si>
    <t>Ownership of investors (2nd round)</t>
  </si>
  <si>
    <t>Comparable analysis</t>
  </si>
  <si>
    <t>Company 1</t>
  </si>
  <si>
    <t>Company 2</t>
  </si>
  <si>
    <t>Company 3</t>
  </si>
  <si>
    <t>Company 4</t>
  </si>
  <si>
    <t>Company 5</t>
  </si>
  <si>
    <t>Revenues</t>
  </si>
  <si>
    <t>Earnings</t>
  </si>
  <si>
    <t>Revenue multiplier</t>
  </si>
  <si>
    <t>Market value</t>
  </si>
  <si>
    <t>Earnings multiplier</t>
  </si>
  <si>
    <t>Average</t>
  </si>
  <si>
    <t>Median</t>
  </si>
  <si>
    <t>Max</t>
  </si>
  <si>
    <t>Min</t>
  </si>
  <si>
    <t>Exit values calculations</t>
  </si>
  <si>
    <t>Revenue-based exit value</t>
  </si>
  <si>
    <t>Earnings-based exit value</t>
  </si>
  <si>
    <t xml:space="preserve">Lower exit value </t>
  </si>
  <si>
    <t>Slower exit</t>
  </si>
  <si>
    <t>* Corresponds to 25% probability of death per year</t>
  </si>
  <si>
    <t>Ownership</t>
  </si>
  <si>
    <t>At founding</t>
  </si>
  <si>
    <t>First round</t>
  </si>
  <si>
    <t>Total</t>
  </si>
  <si>
    <t>New Shares</t>
  </si>
  <si>
    <t>`</t>
  </si>
  <si>
    <t>New  shares</t>
  </si>
  <si>
    <t>Entrepreneur model</t>
  </si>
  <si>
    <t>Second round</t>
  </si>
  <si>
    <t>Equity Comparables Method</t>
  </si>
  <si>
    <t>Revenues in year 5 - investee company</t>
  </si>
  <si>
    <t>Earnings in year 5 - investee company</t>
  </si>
  <si>
    <r>
      <t xml:space="preserve">Earnings-based exit value </t>
    </r>
    <r>
      <rPr>
        <b/>
        <i/>
        <sz val="11"/>
        <color theme="1"/>
        <rFont val="Calibri"/>
        <family val="2"/>
        <scheme val="minor"/>
      </rPr>
      <t>(positive earnings only)</t>
    </r>
  </si>
  <si>
    <t>Investee company</t>
  </si>
  <si>
    <r>
      <t xml:space="preserve">Enterprise value </t>
    </r>
    <r>
      <rPr>
        <b/>
        <sz val="12"/>
        <color rgb="FFC00000"/>
        <rFont val="Calibri (Body)"/>
      </rPr>
      <t>*</t>
    </r>
  </si>
  <si>
    <r>
      <t xml:space="preserve">Based on </t>
    </r>
    <r>
      <rPr>
        <b/>
        <i/>
        <sz val="11"/>
        <color rgb="FFC00000"/>
        <rFont val="Calibri (Body)"/>
      </rPr>
      <t>Max</t>
    </r>
  </si>
  <si>
    <r>
      <t xml:space="preserve">Based on </t>
    </r>
    <r>
      <rPr>
        <b/>
        <i/>
        <sz val="11"/>
        <color rgb="FFC00000"/>
        <rFont val="Calibri (Body)"/>
      </rPr>
      <t>Min</t>
    </r>
  </si>
  <si>
    <r>
      <t xml:space="preserve">Based on </t>
    </r>
    <r>
      <rPr>
        <b/>
        <i/>
        <sz val="11"/>
        <color rgb="FFC00000"/>
        <rFont val="Calibri (Body)"/>
      </rPr>
      <t xml:space="preserve">Average </t>
    </r>
  </si>
  <si>
    <r>
      <t xml:space="preserve">Based on </t>
    </r>
    <r>
      <rPr>
        <b/>
        <i/>
        <sz val="11"/>
        <color rgb="FFC00000"/>
        <rFont val="Calibri (Body)"/>
      </rPr>
      <t xml:space="preserve">Median </t>
    </r>
  </si>
  <si>
    <t>Founders</t>
  </si>
  <si>
    <t>Share option pool</t>
  </si>
  <si>
    <t>Fund 1</t>
  </si>
  <si>
    <t>Fund 2</t>
  </si>
  <si>
    <t>Fund 3</t>
  </si>
  <si>
    <t>Note:</t>
  </si>
  <si>
    <t>Valuations</t>
  </si>
  <si>
    <t>Venture Capital Method - 2 Rounds</t>
  </si>
  <si>
    <t>Venture Capital Method - Single Round</t>
  </si>
  <si>
    <t>Cap Table /</t>
  </si>
  <si>
    <t>Venture Capital Method with Sensitivity Analysis</t>
  </si>
  <si>
    <t>(?)</t>
  </si>
  <si>
    <t>vcmethod.com</t>
  </si>
  <si>
    <t>Base Model</t>
  </si>
  <si>
    <t>Variation 1</t>
  </si>
  <si>
    <t>Variation 2</t>
  </si>
  <si>
    <t>Variation 3</t>
  </si>
  <si>
    <t>Variation 4</t>
  </si>
  <si>
    <t>Variation 5</t>
  </si>
  <si>
    <t>Exit Value</t>
  </si>
  <si>
    <t>V</t>
  </si>
  <si>
    <t>Time to exit</t>
  </si>
  <si>
    <t>t</t>
  </si>
  <si>
    <t>r</t>
  </si>
  <si>
    <t>Investment Amount</t>
  </si>
  <si>
    <t>I</t>
  </si>
  <si>
    <t>Number of existing shares</t>
  </si>
  <si>
    <t>x</t>
  </si>
  <si>
    <t>Post-Money</t>
  </si>
  <si>
    <t>POST</t>
  </si>
  <si>
    <t>Pre-Money</t>
  </si>
  <si>
    <t>PRE</t>
  </si>
  <si>
    <t>Ownership fraction of investors</t>
  </si>
  <si>
    <t>F</t>
  </si>
  <si>
    <t>Ownership fraction of entrepreneurs</t>
  </si>
  <si>
    <t>1-F</t>
  </si>
  <si>
    <t>Number of new shares</t>
  </si>
  <si>
    <t>y</t>
  </si>
  <si>
    <t>p</t>
  </si>
  <si>
    <t>Final wealth of investors</t>
  </si>
  <si>
    <t>Final wealth of entrepreneurs</t>
  </si>
  <si>
    <t>NPV of investors' wealth</t>
  </si>
  <si>
    <t>NPV of entrepreneurs' wealth</t>
  </si>
  <si>
    <t>Notes:</t>
  </si>
  <si>
    <t>Terminal Value (at time of exit)</t>
  </si>
  <si>
    <t>Time to exit event</t>
  </si>
  <si>
    <t>Discount return used by investors</t>
  </si>
  <si>
    <t>Amount of investment</t>
  </si>
  <si>
    <t>Number of existing shares (owned by the entrepreneurs)</t>
  </si>
  <si>
    <t>Post-Money Valuation: POST = V/(1+r)^t</t>
  </si>
  <si>
    <t>Pre-Money Valuation: PRE = POST - 1</t>
  </si>
  <si>
    <t>Required ownership fraction for the investor: F = I / POST</t>
  </si>
  <si>
    <t>Number of shares the investors require to achieve their desired ownership fraction: 
y = x[F/(1-F)]</t>
  </si>
  <si>
    <t>Price per share: p = I / y</t>
  </si>
  <si>
    <t>* Enterprise value = market cap + short term debt + long term debt + cash + cash equivalents [+ unfunded pension liabilities + minority interest for subsidiaries less than 50% controlled]</t>
  </si>
  <si>
    <t>Single period Net Present Value method</t>
  </si>
  <si>
    <r>
      <t>Higher discount rate</t>
    </r>
    <r>
      <rPr>
        <sz val="11"/>
        <color rgb="FFC00000"/>
        <rFont val="Calibri (Body)"/>
      </rPr>
      <t>*</t>
    </r>
  </si>
  <si>
    <t>v1.0</t>
  </si>
  <si>
    <r>
      <t xml:space="preserve">Positive </t>
    </r>
    <r>
      <rPr>
        <b/>
        <i/>
        <sz val="11"/>
        <color rgb="FFC00000"/>
        <rFont val="Calibri"/>
        <family val="2"/>
        <scheme val="minor"/>
      </rPr>
      <t>earnings</t>
    </r>
    <r>
      <rPr>
        <b/>
        <sz val="11"/>
        <color rgb="FFC00000"/>
        <rFont val="Calibri"/>
        <family val="2"/>
        <scheme val="minor"/>
      </rPr>
      <t xml:space="preserve"> only</t>
    </r>
  </si>
  <si>
    <t>Exit value assumptions</t>
  </si>
  <si>
    <t>Berkus Method</t>
  </si>
  <si>
    <t>Value Driver</t>
  </si>
  <si>
    <t>Add to Pre-Money Valuation</t>
  </si>
  <si>
    <t>Assigned Value</t>
  </si>
  <si>
    <t>1. Sound Idea (basic value, product risk)</t>
  </si>
  <si>
    <t>2. Prototype (reduces technology risk)</t>
  </si>
  <si>
    <t>3. Quality Management Team (reduces execution risk)</t>
  </si>
  <si>
    <t>4. Strategic Relationships (reduces market risk and competitive risk)</t>
  </si>
  <si>
    <t>5. Product Rollout or Sales (reduces financial or production risk)</t>
  </si>
  <si>
    <t xml:space="preserve">The Berkus Method uses both qualitative and quantitative factors to calculate a valuation based on five drivers. It was developed in the late-1990s by Dave Berkus. </t>
  </si>
  <si>
    <t>Scorecard Method</t>
  </si>
  <si>
    <t>Gather valuations for other pre-revenue companies in your sector within your geographic region ("Comparables").</t>
  </si>
  <si>
    <t>Company</t>
  </si>
  <si>
    <t>Valuation</t>
  </si>
  <si>
    <t>Comparable A</t>
  </si>
  <si>
    <t>Comparable B</t>
  </si>
  <si>
    <t>Comparable C</t>
  </si>
  <si>
    <t>Comparable D</t>
  </si>
  <si>
    <t>Calculate the average of those valuations.</t>
  </si>
  <si>
    <t>Average of Comparables:</t>
  </si>
  <si>
    <t>Compare your company to similar deals done in your area using the following factors.</t>
  </si>
  <si>
    <t>Weight</t>
  </si>
  <si>
    <t>Your Venture’s Score</t>
  </si>
  <si>
    <t>Factor</t>
  </si>
  <si>
    <t>Strength of the Management Team</t>
  </si>
  <si>
    <t>Size of the Opportunity</t>
  </si>
  <si>
    <t>Product/Technology</t>
  </si>
  <si>
    <t>Competitive Environment</t>
  </si>
  <si>
    <t>Marketing/Sales Channels/Partnerships</t>
  </si>
  <si>
    <t>Need for Additional Investment</t>
  </si>
  <si>
    <t>Other</t>
  </si>
  <si>
    <t>Your Venture's Score: If your company’s performance for one of the Value Drivers is about average, input 100% as your score for that Value Driver. If it is stronger than average, input a number greater than 100% (such as 125% if you believe that your company performs about 25% better). If your company is weaker, input a score less than 100%.</t>
  </si>
  <si>
    <t>Sum of Factors</t>
  </si>
  <si>
    <t>Average of Comparable</t>
  </si>
  <si>
    <t>YOUR PRE-MONEY VALUATION</t>
  </si>
  <si>
    <t>Basic Assumptions</t>
  </si>
  <si>
    <t>No dividends are accrued between investment and exit</t>
  </si>
  <si>
    <t>The Founders and employee option holders hold ordinary shares (and form a single group).</t>
  </si>
  <si>
    <t>The share option pool is fully vested at the time of exit</t>
  </si>
  <si>
    <t>Investor shares</t>
  </si>
  <si>
    <t xml:space="preserve">Cap table at time of exit: </t>
  </si>
  <si>
    <t>shares</t>
  </si>
  <si>
    <t>percent</t>
  </si>
  <si>
    <t>NOTE:</t>
  </si>
  <si>
    <t>Ownership of investors</t>
  </si>
  <si>
    <t>All highlighted cells can be altered</t>
  </si>
  <si>
    <t>Ownership of founders and employees</t>
  </si>
  <si>
    <t>total</t>
  </si>
  <si>
    <t xml:space="preserve">Exit returns: if investor purchases ORDINARY SHARES/common stock </t>
  </si>
  <si>
    <t>Scenario 1:</t>
  </si>
  <si>
    <t xml:space="preserve">Exit Return to Investors </t>
  </si>
  <si>
    <t>Exit Return to Founders and Employees</t>
  </si>
  <si>
    <t>Checking</t>
  </si>
  <si>
    <t>Scenario 2:</t>
  </si>
  <si>
    <r>
      <t xml:space="preserve">Investors purchase </t>
    </r>
    <r>
      <rPr>
        <b/>
        <sz val="11"/>
        <color rgb="FFC00000"/>
        <rFont val="Calibri"/>
        <family val="2"/>
        <scheme val="minor"/>
      </rPr>
      <t>convertible preference shares.</t>
    </r>
  </si>
  <si>
    <t>These shares include a liquidation preference:</t>
  </si>
  <si>
    <t>Investors will choose the higher return</t>
  </si>
  <si>
    <t xml:space="preserve">Liquidation Preference </t>
  </si>
  <si>
    <t>Investor chooses?</t>
  </si>
  <si>
    <t xml:space="preserve">Return to investors </t>
  </si>
  <si>
    <t>Return to founders and employees</t>
  </si>
  <si>
    <t>Scenario 3:</t>
  </si>
  <si>
    <r>
      <t xml:space="preserve">Investors purchase </t>
    </r>
    <r>
      <rPr>
        <b/>
        <sz val="11"/>
        <color rgb="FFC00000"/>
        <rFont val="Calibri"/>
        <family val="2"/>
        <scheme val="minor"/>
      </rPr>
      <t>participating preferences shares.</t>
    </r>
  </si>
  <si>
    <t>A 'double dipping' outcome for investors.</t>
  </si>
  <si>
    <t>Investor Conversion Return</t>
  </si>
  <si>
    <t>Total return to investors (pref + conversion)</t>
  </si>
  <si>
    <t>Exit value</t>
  </si>
  <si>
    <t>Exit returns: if investor purchases CONVERTIBLE preference shares/preferred equity</t>
  </si>
  <si>
    <t>Exit returns: if investor purchases PARTICIPATING preference shares/preferred equity</t>
  </si>
  <si>
    <r>
      <rPr>
        <sz val="11"/>
        <color rgb="FFC00000"/>
        <rFont val="Calibri"/>
        <family val="2"/>
        <scheme val="minor"/>
      </rPr>
      <t>Investors purchase</t>
    </r>
    <r>
      <rPr>
        <b/>
        <sz val="11"/>
        <color rgb="FFC00000"/>
        <rFont val="Calibri"/>
        <family val="2"/>
        <scheme val="minor"/>
      </rPr>
      <t xml:space="preserve"> ORDINARY SHARES only: </t>
    </r>
    <r>
      <rPr>
        <sz val="11"/>
        <color rgb="FFC00000"/>
        <rFont val="Calibri"/>
        <family val="2"/>
        <scheme val="minor"/>
      </rPr>
      <t xml:space="preserve">unusual for VC funds, but useful base case comparator. Simple </t>
    </r>
    <r>
      <rPr>
        <i/>
        <sz val="11"/>
        <color rgb="FFC00000"/>
        <rFont val="Calibri"/>
        <family val="2"/>
        <scheme val="minor"/>
      </rPr>
      <t xml:space="preserve">pro rata </t>
    </r>
    <r>
      <rPr>
        <sz val="11"/>
        <color rgb="FFC00000"/>
        <rFont val="Calibri"/>
        <family val="2"/>
        <scheme val="minor"/>
      </rPr>
      <t>returns.</t>
    </r>
  </si>
  <si>
    <t>Investor Liquidation Preference Return</t>
  </si>
  <si>
    <r>
      <t xml:space="preserve">Impact of Ordinary </t>
    </r>
    <r>
      <rPr>
        <b/>
        <i/>
        <u/>
        <sz val="20"/>
        <color rgb="FFC00000"/>
        <rFont val="Calibri"/>
        <family val="2"/>
        <scheme val="minor"/>
      </rPr>
      <t>vs</t>
    </r>
    <r>
      <rPr>
        <b/>
        <u/>
        <sz val="20"/>
        <color rgb="FFC00000"/>
        <rFont val="Calibri"/>
        <family val="2"/>
        <scheme val="minor"/>
      </rPr>
      <t xml:space="preserve"> Convertible </t>
    </r>
    <r>
      <rPr>
        <b/>
        <i/>
        <u/>
        <sz val="20"/>
        <color rgb="FFC00000"/>
        <rFont val="Calibri"/>
        <family val="2"/>
        <scheme val="minor"/>
      </rPr>
      <t>vs</t>
    </r>
    <r>
      <rPr>
        <b/>
        <u/>
        <sz val="20"/>
        <color rgb="FFC00000"/>
        <rFont val="Calibri"/>
        <family val="2"/>
        <scheme val="minor"/>
      </rPr>
      <t xml:space="preserve"> Participating Preference Shares </t>
    </r>
  </si>
  <si>
    <t xml:space="preserve"> 'Exit returns' mean financial proceeds on exit, not taking account of the original cost of investment.</t>
  </si>
  <si>
    <t>Investor Conversion to Ordinary Return</t>
  </si>
  <si>
    <r>
      <t xml:space="preserve">The investors </t>
    </r>
    <r>
      <rPr>
        <b/>
        <u/>
        <sz val="11"/>
        <color theme="1"/>
        <rFont val="Calibri (Body)"/>
      </rPr>
      <t>must choose</t>
    </r>
    <r>
      <rPr>
        <sz val="11"/>
        <color theme="1"/>
        <rFont val="Calibri"/>
        <family val="2"/>
        <scheme val="minor"/>
      </rPr>
      <t xml:space="preserve"> on exit whether (1) to take up their l</t>
    </r>
    <r>
      <rPr>
        <b/>
        <sz val="11"/>
        <color theme="1"/>
        <rFont val="Calibri"/>
        <family val="2"/>
        <scheme val="minor"/>
      </rPr>
      <t xml:space="preserve">iquidation preference </t>
    </r>
    <r>
      <rPr>
        <sz val="11"/>
        <color theme="1"/>
        <rFont val="Calibri"/>
        <family val="2"/>
        <scheme val="minor"/>
      </rPr>
      <t xml:space="preserve">or (2) </t>
    </r>
    <r>
      <rPr>
        <b/>
        <sz val="11"/>
        <color theme="1"/>
        <rFont val="Calibri"/>
        <family val="2"/>
        <scheme val="minor"/>
      </rPr>
      <t>convert to ordinary shares</t>
    </r>
    <r>
      <rPr>
        <sz val="11"/>
        <color theme="1"/>
        <rFont val="Calibri"/>
        <family val="2"/>
        <scheme val="minor"/>
      </rPr>
      <t xml:space="preserve"> and share on an equal basis in the proceeds.</t>
    </r>
  </si>
  <si>
    <r>
      <t xml:space="preserve">1. the investor takes its </t>
    </r>
    <r>
      <rPr>
        <b/>
        <sz val="11"/>
        <color theme="1"/>
        <rFont val="Calibri"/>
        <family val="2"/>
        <scheme val="minor"/>
      </rPr>
      <t>liquidation preference</t>
    </r>
    <r>
      <rPr>
        <sz val="11"/>
        <color theme="1"/>
        <rFont val="Calibri"/>
        <family val="2"/>
        <scheme val="minor"/>
      </rPr>
      <t xml:space="preserve"> AND </t>
    </r>
  </si>
  <si>
    <r>
      <t xml:space="preserve">2. ALSO </t>
    </r>
    <r>
      <rPr>
        <b/>
        <sz val="11"/>
        <color theme="1"/>
        <rFont val="Calibri"/>
        <family val="2"/>
        <scheme val="minor"/>
      </rPr>
      <t>shares in the residual proceeds</t>
    </r>
    <r>
      <rPr>
        <sz val="11"/>
        <color theme="1"/>
        <rFont val="Calibri"/>
        <family val="2"/>
        <scheme val="minor"/>
      </rPr>
      <t xml:space="preserve"> of sale pro rata by converting to ordinary shares</t>
    </r>
  </si>
  <si>
    <t>No further investment rounds take place.</t>
  </si>
  <si>
    <t>Founder initial investment at €0.000001 per share</t>
  </si>
  <si>
    <t>PRE-MONEY VALUATION [Max 80%]</t>
  </si>
  <si>
    <t>€0-€500,000</t>
  </si>
  <si>
    <t>Investment €</t>
  </si>
  <si>
    <t>Pre-money €</t>
  </si>
  <si>
    <t>Post-money €</t>
  </si>
  <si>
    <t>Investor price/share €</t>
  </si>
  <si>
    <t>LEPTIS accepts a single round investment of €5M at a pre-money valuation of €15M</t>
  </si>
  <si>
    <t>Exit Valuation of LEPTIS - €</t>
  </si>
  <si>
    <t>Employee shares</t>
  </si>
  <si>
    <t>F+E shares</t>
  </si>
  <si>
    <t xml:space="preserve"> </t>
  </si>
  <si>
    <t>No anti-dilution</t>
  </si>
  <si>
    <t xml:space="preserve">Full ratchet </t>
  </si>
  <si>
    <t xml:space="preserve">Broad-based weighted average </t>
  </si>
  <si>
    <t xml:space="preserve">Narrow-based weighted average </t>
  </si>
  <si>
    <t>Existing shares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</si>
  <si>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</si>
  <si>
    <r>
      <t>I</t>
    </r>
    <r>
      <rPr>
        <vertAlign val="subscript"/>
        <sz val="11"/>
        <color theme="1"/>
        <rFont val="Calibri"/>
        <family val="2"/>
        <scheme val="minor"/>
      </rPr>
      <t>1</t>
    </r>
  </si>
  <si>
    <r>
      <t>P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</si>
  <si>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vertAlign val="subscript"/>
        <sz val="11"/>
        <color theme="1"/>
        <rFont val="Calibri"/>
        <family val="2"/>
        <scheme val="minor"/>
      </rPr>
      <t>1(no AD)</t>
    </r>
  </si>
  <si>
    <t xml:space="preserve">B-round shares with AD adjustment </t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</si>
  <si>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</si>
  <si>
    <t>AD adjustment</t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</si>
  <si>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1</t>
    </r>
  </si>
  <si>
    <r>
      <t>V</t>
    </r>
    <r>
      <rPr>
        <vertAlign val="subscript"/>
        <sz val="11"/>
        <color theme="1"/>
        <rFont val="Calibri"/>
        <family val="2"/>
        <scheme val="minor"/>
      </rPr>
      <t>PRE</t>
    </r>
  </si>
  <si>
    <r>
      <t>V</t>
    </r>
    <r>
      <rPr>
        <vertAlign val="subscript"/>
        <sz val="11"/>
        <color theme="1"/>
        <rFont val="Calibri"/>
        <family val="2"/>
        <scheme val="minor"/>
      </rPr>
      <t>POST</t>
    </r>
  </si>
  <si>
    <t>Base number of shares</t>
  </si>
  <si>
    <r>
      <t>S</t>
    </r>
    <r>
      <rPr>
        <vertAlign val="subscript"/>
        <sz val="11"/>
        <color theme="1"/>
        <rFont val="Calibri"/>
        <family val="2"/>
        <scheme val="minor"/>
      </rPr>
      <t>Base</t>
    </r>
  </si>
  <si>
    <t>Adjustment Ratio (%)</t>
  </si>
  <si>
    <t>AR</t>
  </si>
  <si>
    <r>
      <t>I</t>
    </r>
    <r>
      <rPr>
        <vertAlign val="subscript"/>
        <sz val="11"/>
        <color theme="1"/>
        <rFont val="Calibri"/>
        <family val="2"/>
        <scheme val="minor"/>
      </rPr>
      <t>2</t>
    </r>
  </si>
  <si>
    <r>
      <t>P</t>
    </r>
    <r>
      <rPr>
        <vertAlign val="subscript"/>
        <sz val="11"/>
        <color theme="1"/>
        <rFont val="Calibri"/>
        <family val="2"/>
        <scheme val="minor"/>
      </rPr>
      <t>2</t>
    </r>
  </si>
  <si>
    <t>C-round shares</t>
  </si>
  <si>
    <r>
      <t>S</t>
    </r>
    <r>
      <rPr>
        <vertAlign val="subscript"/>
        <sz val="11"/>
        <color theme="1"/>
        <rFont val="Calibri"/>
        <family val="2"/>
        <scheme val="minor"/>
      </rPr>
      <t>2</t>
    </r>
  </si>
  <si>
    <r>
      <t>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+ 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 S</t>
    </r>
    <r>
      <rPr>
        <vertAlign val="subscript"/>
        <sz val="11"/>
        <color theme="1"/>
        <rFont val="Calibri"/>
        <family val="2"/>
        <scheme val="minor"/>
      </rPr>
      <t>2</t>
    </r>
  </si>
  <si>
    <r>
      <t>F</t>
    </r>
    <r>
      <rPr>
        <vertAlign val="subscript"/>
        <sz val="11"/>
        <color theme="1"/>
        <rFont val="Calibri"/>
        <family val="2"/>
        <scheme val="minor"/>
      </rPr>
      <t>0</t>
    </r>
  </si>
  <si>
    <t>B-round investors' ownership</t>
  </si>
  <si>
    <r>
      <t>F</t>
    </r>
    <r>
      <rPr>
        <vertAlign val="subscript"/>
        <sz val="11"/>
        <color theme="1"/>
        <rFont val="Calibri"/>
        <family val="2"/>
        <scheme val="minor"/>
      </rPr>
      <t>1</t>
    </r>
  </si>
  <si>
    <t>C-round investors' ownership</t>
  </si>
  <si>
    <r>
      <t>F</t>
    </r>
    <r>
      <rPr>
        <vertAlign val="subscript"/>
        <sz val="11"/>
        <color theme="1"/>
        <rFont val="Calibri"/>
        <family val="2"/>
        <scheme val="minor"/>
      </rPr>
      <t>2</t>
    </r>
  </si>
  <si>
    <t>Anti-Dilution Calculations</t>
  </si>
  <si>
    <t>Editable cells</t>
  </si>
  <si>
    <t>Notation taken from Da Rin  &amp; Hellmann</t>
  </si>
  <si>
    <t xml:space="preserve">Price per share </t>
  </si>
  <si>
    <t>B Round</t>
  </si>
  <si>
    <t>C Round</t>
  </si>
  <si>
    <t>B-round shares - base case</t>
  </si>
  <si>
    <t>A-round investors</t>
  </si>
  <si>
    <t>B-round investors</t>
  </si>
  <si>
    <t>% check</t>
  </si>
  <si>
    <t>Founder + A-round ownership</t>
  </si>
  <si>
    <t xml:space="preserve">Pre-money valuation </t>
  </si>
  <si>
    <t xml:space="preserve">Post-money valuation </t>
  </si>
  <si>
    <t>Adjustment Ratio – Broad-based</t>
  </si>
  <si>
    <r>
      <t xml:space="preserve">= </t>
    </r>
    <r>
      <rPr>
        <u/>
        <sz val="9"/>
        <color theme="1"/>
        <rFont val="Calibri"/>
        <family val="2"/>
        <scheme val="minor"/>
      </rPr>
      <t>base number of BBWA shares in B-round + (NAD investment in C-round/NAD price per share in B-round)</t>
    </r>
  </si>
  <si>
    <t xml:space="preserve">   base number of BBWA shares in B-round + (NAD investment in C round/NAD price per share in C-round)</t>
  </si>
  <si>
    <t xml:space="preserve">   11,250,000 + (15,000,000/2)</t>
  </si>
  <si>
    <t xml:space="preserve">   11,250,000 + 7,500,000</t>
  </si>
  <si>
    <t>(2) Higher denominator because NAD price in C-round is lower (ie, down round)</t>
  </si>
  <si>
    <r>
      <rPr>
        <i/>
        <sz val="9"/>
        <color theme="1"/>
        <rFont val="Calibri"/>
        <family val="2"/>
        <scheme val="minor"/>
      </rPr>
      <t xml:space="preserve">(1) Include </t>
    </r>
    <r>
      <rPr>
        <b/>
        <i/>
        <sz val="9"/>
        <color theme="1"/>
        <rFont val="Calibri"/>
        <family val="2"/>
        <scheme val="minor"/>
      </rPr>
      <t>both</t>
    </r>
    <r>
      <rPr>
        <i/>
        <sz val="9"/>
        <color theme="1"/>
        <rFont val="Calibri"/>
        <family val="2"/>
        <scheme val="minor"/>
      </rPr>
      <t xml:space="preserve"> shares issued in B-round </t>
    </r>
    <r>
      <rPr>
        <b/>
        <i/>
        <sz val="9"/>
        <color theme="1"/>
        <rFont val="Calibri"/>
        <family val="2"/>
        <scheme val="minor"/>
      </rPr>
      <t>and</t>
    </r>
    <r>
      <rPr>
        <i/>
        <sz val="9"/>
        <color theme="1"/>
        <rFont val="Calibri"/>
        <family val="2"/>
        <scheme val="minor"/>
      </rPr>
      <t xml:space="preserve"> existing shares (ie, higher number than for NBWA)</t>
    </r>
  </si>
  <si>
    <t xml:space="preserve">Intuition: </t>
  </si>
  <si>
    <t>11,250,000 + (15,000,000/4)</t>
  </si>
  <si>
    <t>1,250,000 + 3,750,000</t>
  </si>
  <si>
    <t>Equals  80%</t>
  </si>
  <si>
    <t>Adjustment Ratio – Narrow-based</t>
  </si>
  <si>
    <r>
      <t xml:space="preserve">= </t>
    </r>
    <r>
      <rPr>
        <u/>
        <sz val="9"/>
        <color theme="1"/>
        <rFont val="Calibri"/>
        <family val="2"/>
        <scheme val="minor"/>
      </rPr>
      <t xml:space="preserve">base number of </t>
    </r>
    <r>
      <rPr>
        <b/>
        <u/>
        <sz val="9"/>
        <color theme="1"/>
        <rFont val="Calibri"/>
        <family val="2"/>
        <scheme val="minor"/>
      </rPr>
      <t>NBWA</t>
    </r>
    <r>
      <rPr>
        <u/>
        <sz val="9"/>
        <color theme="1"/>
        <rFont val="Calibri"/>
        <family val="2"/>
        <scheme val="minor"/>
      </rPr>
      <t xml:space="preserve"> shares in B-round + (NAD investment in C-round/NAD price per share in </t>
    </r>
    <r>
      <rPr>
        <b/>
        <u/>
        <sz val="9"/>
        <color theme="1"/>
        <rFont val="Calibri"/>
        <family val="2"/>
        <scheme val="minor"/>
      </rPr>
      <t>B</t>
    </r>
    <r>
      <rPr>
        <u/>
        <sz val="9"/>
        <color theme="1"/>
        <rFont val="Calibri"/>
        <family val="2"/>
        <scheme val="minor"/>
      </rPr>
      <t>-round</t>
    </r>
    <r>
      <rPr>
        <sz val="9"/>
        <color theme="1"/>
        <rFont val="Calibri"/>
        <family val="2"/>
        <scheme val="minor"/>
      </rPr>
      <t>)</t>
    </r>
  </si>
  <si>
    <r>
      <t xml:space="preserve">   base number of </t>
    </r>
    <r>
      <rPr>
        <b/>
        <sz val="9"/>
        <color theme="1"/>
        <rFont val="Calibri"/>
        <family val="2"/>
        <scheme val="minor"/>
      </rPr>
      <t>NBWA</t>
    </r>
    <r>
      <rPr>
        <sz val="9"/>
        <color theme="1"/>
        <rFont val="Calibri"/>
        <family val="2"/>
        <scheme val="minor"/>
      </rPr>
      <t xml:space="preserve"> shares in B-round + (NAD investment in C-round/NAD price per share in </t>
    </r>
    <r>
      <rPr>
        <b/>
        <sz val="9"/>
        <color theme="1"/>
        <rFont val="Calibri"/>
        <family val="2"/>
        <scheme val="minor"/>
      </rPr>
      <t>C-</t>
    </r>
    <r>
      <rPr>
        <sz val="9"/>
        <color theme="1"/>
        <rFont val="Calibri"/>
        <family val="2"/>
        <scheme val="minor"/>
      </rPr>
      <t>round)</t>
    </r>
  </si>
  <si>
    <t xml:space="preserve">   2,250,000 = (15,000,000/2)</t>
  </si>
  <si>
    <t xml:space="preserve">   2,250,000 + 7,500,000</t>
  </si>
  <si>
    <t>Equals 61.54%</t>
  </si>
  <si>
    <t>For B-round - worked example</t>
  </si>
  <si>
    <t>2,250,000 + (15,000,000/4)</t>
  </si>
  <si>
    <t>2,250,000 + 3,750,000</t>
  </si>
  <si>
    <r>
      <t>Intuition:</t>
    </r>
    <r>
      <rPr>
        <i/>
        <sz val="9"/>
        <color theme="1"/>
        <rFont val="Calibri"/>
        <family val="2"/>
        <scheme val="minor"/>
      </rPr>
      <t xml:space="preserve"> </t>
    </r>
  </si>
  <si>
    <t>(1) Only include new shares being issued in B-round (ie, lower number than for BBWA)</t>
  </si>
  <si>
    <t>Adjustment - Full Ratchet</t>
  </si>
  <si>
    <t>Lowers conversion price of B-round preference shares to NAD price paid in C-round</t>
  </si>
  <si>
    <t>Founders + ESOP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</si>
</sst>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&quot;£&quot;#,##0"/>
    <numFmt numFmtId="167" formatCode="#,##0;\(#,##0\)"/>
    <numFmt numFmtId="168" formatCode="_-[$£-809]* #,##0.00_-;\-[$£-809]* #,##0.00_-;_-[$£-809]* &quot;-&quot;??_-;_-@_-"/>
    <numFmt numFmtId="169" formatCode="_(&quot;$&quot;* #,##0_);_(&quot;$&quot;* \(#,##0\);_(&quot;$&quot;* &quot;-&quot;??_);_(@_)"/>
    <numFmt numFmtId="170" formatCode="_-* #,##0_-;\-* #,##0_-;_-* &quot;-&quot;??_-;_-@_-"/>
    <numFmt numFmtId="171" formatCode="_(* #,##0_);_(* \(#,##0\);_(* &quot;-&quot;??_);_(@_)"/>
    <numFmt numFmtId="172" formatCode="#.0\x"/>
    <numFmt numFmtId="173" formatCode="_([$€-2]\ * #,##0.00_);_([$€-2]\ * \(#,##0.00\);_([$€-2]\ * &quot;-&quot;??_);_(@_)"/>
    <numFmt numFmtId="174" formatCode="_([$€-2]\ * #,##0_);_([$€-2]\ * \(#,##0\);_([$€-2]\ * &quot;-&quot;??_);_(@_)"/>
    <numFmt numFmtId="175" formatCode="[$$-409]#,##0"/>
    <numFmt numFmtId="176" formatCode="[$€-2]\ #,##0"/>
  </numFmts>
  <fonts count="5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C00000"/>
      <name val="Calibri (Body)"/>
    </font>
    <font>
      <b/>
      <i/>
      <sz val="11"/>
      <color rgb="FFC00000"/>
      <name val="Calibri (Body)"/>
    </font>
    <font>
      <b/>
      <sz val="11"/>
      <color rgb="FFFF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u/>
      <sz val="10"/>
      <color rgb="FF0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 (Body)"/>
    </font>
    <font>
      <sz val="11"/>
      <color rgb="FF00000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b/>
      <i/>
      <u/>
      <sz val="20"/>
      <color rgb="FFC00000"/>
      <name val="Calibri"/>
      <family val="2"/>
      <scheme val="minor"/>
    </font>
    <font>
      <b/>
      <u/>
      <sz val="11"/>
      <color theme="1"/>
      <name val="Calibri (Body)"/>
    </font>
    <font>
      <b/>
      <i/>
      <sz val="11"/>
      <color theme="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9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10" fontId="0" fillId="7" borderId="0" xfId="0" applyNumberFormat="1" applyFill="1" applyAlignment="1">
      <alignment horizontal="center"/>
    </xf>
    <xf numFmtId="3" fontId="0" fillId="0" borderId="0" xfId="0" applyNumberFormat="1"/>
    <xf numFmtId="166" fontId="0" fillId="0" borderId="0" xfId="0" applyNumberFormat="1"/>
    <xf numFmtId="43" fontId="0" fillId="0" borderId="0" xfId="1" applyFont="1"/>
    <xf numFmtId="4" fontId="0" fillId="2" borderId="1" xfId="0" applyNumberFormat="1" applyFill="1" applyBorder="1"/>
    <xf numFmtId="4" fontId="0" fillId="10" borderId="1" xfId="0" applyNumberFormat="1" applyFill="1" applyBorder="1"/>
    <xf numFmtId="4" fontId="0" fillId="14" borderId="1" xfId="0" applyNumberFormat="1" applyFill="1" applyBorder="1"/>
    <xf numFmtId="0" fontId="2" fillId="14" borderId="10" xfId="0" applyFont="1" applyFill="1" applyBorder="1" applyAlignment="1">
      <alignment horizontal="center"/>
    </xf>
    <xf numFmtId="0" fontId="2" fillId="14" borderId="11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4" fontId="0" fillId="4" borderId="12" xfId="0" applyNumberFormat="1" applyFill="1" applyBorder="1"/>
    <xf numFmtId="4" fontId="0" fillId="4" borderId="14" xfId="0" applyNumberFormat="1" applyFill="1" applyBorder="1"/>
    <xf numFmtId="4" fontId="0" fillId="10" borderId="15" xfId="0" applyNumberFormat="1" applyFill="1" applyBorder="1"/>
    <xf numFmtId="4" fontId="0" fillId="9" borderId="15" xfId="0" applyNumberFormat="1" applyFill="1" applyBorder="1"/>
    <xf numFmtId="0" fontId="7" fillId="0" borderId="0" xfId="0" applyFont="1"/>
    <xf numFmtId="0" fontId="6" fillId="14" borderId="19" xfId="0" applyFont="1" applyFill="1" applyBorder="1" applyAlignment="1">
      <alignment horizontal="center"/>
    </xf>
    <xf numFmtId="2" fontId="0" fillId="0" borderId="0" xfId="0" applyNumberFormat="1"/>
    <xf numFmtId="0" fontId="2" fillId="13" borderId="23" xfId="0" applyFont="1" applyFill="1" applyBorder="1"/>
    <xf numFmtId="0" fontId="2" fillId="13" borderId="24" xfId="0" applyFont="1" applyFill="1" applyBorder="1"/>
    <xf numFmtId="0" fontId="2" fillId="13" borderId="25" xfId="0" applyFont="1" applyFill="1" applyBorder="1"/>
    <xf numFmtId="166" fontId="2" fillId="17" borderId="23" xfId="0" applyNumberFormat="1" applyFont="1" applyFill="1" applyBorder="1"/>
    <xf numFmtId="0" fontId="2" fillId="17" borderId="24" xfId="0" applyFont="1" applyFill="1" applyBorder="1"/>
    <xf numFmtId="0" fontId="2" fillId="17" borderId="25" xfId="0" applyFont="1" applyFill="1" applyBorder="1"/>
    <xf numFmtId="0" fontId="2" fillId="14" borderId="24" xfId="0" applyFont="1" applyFill="1" applyBorder="1"/>
    <xf numFmtId="0" fontId="2" fillId="14" borderId="25" xfId="0" applyFont="1" applyFill="1" applyBorder="1"/>
    <xf numFmtId="0" fontId="5" fillId="18" borderId="30" xfId="0" applyFont="1" applyFill="1" applyBorder="1"/>
    <xf numFmtId="0" fontId="0" fillId="4" borderId="6" xfId="0" applyFill="1" applyBorder="1" applyAlignment="1">
      <alignment horizontal="center"/>
    </xf>
    <xf numFmtId="9" fontId="0" fillId="4" borderId="6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0" fontId="2" fillId="2" borderId="22" xfId="0" applyFont="1" applyFill="1" applyBorder="1"/>
    <xf numFmtId="0" fontId="0" fillId="2" borderId="20" xfId="0" applyFill="1" applyBorder="1"/>
    <xf numFmtId="0" fontId="0" fillId="2" borderId="19" xfId="0" applyFill="1" applyBorder="1"/>
    <xf numFmtId="0" fontId="0" fillId="3" borderId="33" xfId="0" applyFill="1" applyBorder="1"/>
    <xf numFmtId="0" fontId="0" fillId="3" borderId="34" xfId="0" applyFill="1" applyBorder="1"/>
    <xf numFmtId="0" fontId="0" fillId="3" borderId="35" xfId="0" applyFill="1" applyBorder="1"/>
    <xf numFmtId="3" fontId="3" fillId="4" borderId="0" xfId="0" applyNumberFormat="1" applyFont="1" applyFill="1" applyAlignment="1">
      <alignment horizontal="center"/>
    </xf>
    <xf numFmtId="3" fontId="3" fillId="4" borderId="6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center"/>
    </xf>
    <xf numFmtId="3" fontId="3" fillId="4" borderId="8" xfId="0" applyNumberFormat="1" applyFont="1" applyFill="1" applyBorder="1" applyAlignment="1">
      <alignment horizontal="center"/>
    </xf>
    <xf numFmtId="0" fontId="0" fillId="3" borderId="14" xfId="0" applyFill="1" applyBorder="1"/>
    <xf numFmtId="3" fontId="0" fillId="7" borderId="6" xfId="0" applyNumberFormat="1" applyFill="1" applyBorder="1" applyAlignment="1">
      <alignment horizontal="center"/>
    </xf>
    <xf numFmtId="3" fontId="0" fillId="7" borderId="21" xfId="0" applyNumberFormat="1" applyFill="1" applyBorder="1" applyAlignment="1">
      <alignment horizontal="center"/>
    </xf>
    <xf numFmtId="3" fontId="0" fillId="7" borderId="8" xfId="0" applyNumberFormat="1" applyFill="1" applyBorder="1" applyAlignment="1">
      <alignment horizontal="center"/>
    </xf>
    <xf numFmtId="0" fontId="2" fillId="6" borderId="22" xfId="0" applyFont="1" applyFill="1" applyBorder="1"/>
    <xf numFmtId="10" fontId="0" fillId="7" borderId="6" xfId="0" applyNumberFormat="1" applyFill="1" applyBorder="1" applyAlignment="1">
      <alignment horizontal="center"/>
    </xf>
    <xf numFmtId="10" fontId="0" fillId="7" borderId="21" xfId="0" applyNumberFormat="1" applyFill="1" applyBorder="1" applyAlignment="1">
      <alignment horizontal="center"/>
    </xf>
    <xf numFmtId="10" fontId="0" fillId="7" borderId="8" xfId="0" applyNumberFormat="1" applyFill="1" applyBorder="1" applyAlignment="1">
      <alignment horizontal="center"/>
    </xf>
    <xf numFmtId="0" fontId="2" fillId="11" borderId="5" xfId="0" applyFont="1" applyFill="1" applyBorder="1"/>
    <xf numFmtId="0" fontId="2" fillId="11" borderId="7" xfId="0" applyFont="1" applyFill="1" applyBorder="1"/>
    <xf numFmtId="3" fontId="0" fillId="19" borderId="0" xfId="0" applyNumberFormat="1" applyFill="1"/>
    <xf numFmtId="10" fontId="0" fillId="19" borderId="6" xfId="0" applyNumberFormat="1" applyFill="1" applyBorder="1"/>
    <xf numFmtId="0" fontId="0" fillId="19" borderId="6" xfId="0" applyFill="1" applyBorder="1"/>
    <xf numFmtId="0" fontId="0" fillId="19" borderId="0" xfId="0" applyFill="1"/>
    <xf numFmtId="0" fontId="0" fillId="19" borderId="29" xfId="0" applyFill="1" applyBorder="1"/>
    <xf numFmtId="0" fontId="0" fillId="19" borderId="21" xfId="0" applyFill="1" applyBorder="1"/>
    <xf numFmtId="0" fontId="0" fillId="19" borderId="4" xfId="0" applyFill="1" applyBorder="1"/>
    <xf numFmtId="0" fontId="0" fillId="19" borderId="8" xfId="0" applyFill="1" applyBorder="1"/>
    <xf numFmtId="0" fontId="6" fillId="0" borderId="0" xfId="0" applyFont="1"/>
    <xf numFmtId="0" fontId="2" fillId="11" borderId="30" xfId="0" applyFont="1" applyFill="1" applyBorder="1"/>
    <xf numFmtId="0" fontId="2" fillId="11" borderId="31" xfId="0" applyFont="1" applyFill="1" applyBorder="1"/>
    <xf numFmtId="0" fontId="2" fillId="11" borderId="32" xfId="0" applyFont="1" applyFill="1" applyBorder="1"/>
    <xf numFmtId="0" fontId="11" fillId="19" borderId="30" xfId="0" applyFont="1" applyFill="1" applyBorder="1"/>
    <xf numFmtId="0" fontId="11" fillId="19" borderId="32" xfId="0" applyFont="1" applyFill="1" applyBorder="1"/>
    <xf numFmtId="0" fontId="13" fillId="12" borderId="30" xfId="0" applyFont="1" applyFill="1" applyBorder="1"/>
    <xf numFmtId="0" fontId="13" fillId="12" borderId="32" xfId="0" applyFont="1" applyFill="1" applyBorder="1"/>
    <xf numFmtId="0" fontId="0" fillId="11" borderId="12" xfId="0" applyFill="1" applyBorder="1"/>
    <xf numFmtId="4" fontId="0" fillId="13" borderId="16" xfId="0" applyNumberFormat="1" applyFill="1" applyBorder="1"/>
    <xf numFmtId="4" fontId="0" fillId="19" borderId="1" xfId="0" applyNumberFormat="1" applyFill="1" applyBorder="1"/>
    <xf numFmtId="4" fontId="0" fillId="19" borderId="13" xfId="0" applyNumberFormat="1" applyFill="1" applyBorder="1"/>
    <xf numFmtId="3" fontId="0" fillId="19" borderId="1" xfId="0" applyNumberFormat="1" applyFill="1" applyBorder="1"/>
    <xf numFmtId="3" fontId="0" fillId="19" borderId="13" xfId="0" applyNumberFormat="1" applyFill="1" applyBorder="1"/>
    <xf numFmtId="4" fontId="0" fillId="19" borderId="15" xfId="0" applyNumberFormat="1" applyFill="1" applyBorder="1"/>
    <xf numFmtId="4" fontId="0" fillId="19" borderId="16" xfId="0" applyNumberFormat="1" applyFill="1" applyBorder="1"/>
    <xf numFmtId="0" fontId="0" fillId="19" borderId="12" xfId="0" applyFill="1" applyBorder="1"/>
    <xf numFmtId="0" fontId="0" fillId="19" borderId="1" xfId="0" applyFill="1" applyBorder="1"/>
    <xf numFmtId="0" fontId="0" fillId="19" borderId="13" xfId="0" applyFill="1" applyBorder="1"/>
    <xf numFmtId="0" fontId="13" fillId="0" borderId="0" xfId="0" applyFont="1"/>
    <xf numFmtId="0" fontId="15" fillId="16" borderId="2" xfId="0" applyFont="1" applyFill="1" applyBorder="1"/>
    <xf numFmtId="0" fontId="0" fillId="0" borderId="0" xfId="0" applyAlignment="1">
      <alignment wrapText="1"/>
    </xf>
    <xf numFmtId="0" fontId="17" fillId="4" borderId="0" xfId="0" applyFont="1" applyFill="1" applyAlignment="1">
      <alignment wrapText="1"/>
    </xf>
    <xf numFmtId="0" fontId="16" fillId="10" borderId="40" xfId="0" applyFont="1" applyFill="1" applyBorder="1"/>
    <xf numFmtId="0" fontId="0" fillId="10" borderId="41" xfId="0" applyFill="1" applyBorder="1" applyAlignment="1">
      <alignment wrapText="1"/>
    </xf>
    <xf numFmtId="0" fontId="16" fillId="10" borderId="41" xfId="0" applyFont="1" applyFill="1" applyBorder="1" applyAlignment="1">
      <alignment horizontal="center"/>
    </xf>
    <xf numFmtId="0" fontId="16" fillId="10" borderId="42" xfId="0" applyFont="1" applyFill="1" applyBorder="1" applyAlignment="1">
      <alignment horizontal="center"/>
    </xf>
    <xf numFmtId="0" fontId="18" fillId="10" borderId="30" xfId="0" applyFont="1" applyFill="1" applyBorder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10" borderId="31" xfId="0" applyFont="1" applyFill="1" applyBorder="1"/>
    <xf numFmtId="0" fontId="18" fillId="20" borderId="0" xfId="0" applyFont="1" applyFill="1"/>
    <xf numFmtId="0" fontId="18" fillId="20" borderId="38" xfId="0" applyFont="1" applyFill="1" applyBorder="1"/>
    <xf numFmtId="0" fontId="18" fillId="21" borderId="36" xfId="0" applyFont="1" applyFill="1" applyBorder="1"/>
    <xf numFmtId="0" fontId="18" fillId="20" borderId="37" xfId="0" applyFont="1" applyFill="1" applyBorder="1"/>
    <xf numFmtId="0" fontId="18" fillId="20" borderId="6" xfId="0" applyFont="1" applyFill="1" applyBorder="1"/>
    <xf numFmtId="9" fontId="18" fillId="20" borderId="0" xfId="0" applyNumberFormat="1" applyFont="1" applyFill="1"/>
    <xf numFmtId="9" fontId="18" fillId="20" borderId="38" xfId="0" applyNumberFormat="1" applyFont="1" applyFill="1" applyBorder="1"/>
    <xf numFmtId="9" fontId="18" fillId="21" borderId="36" xfId="0" applyNumberFormat="1" applyFont="1" applyFill="1" applyBorder="1"/>
    <xf numFmtId="9" fontId="18" fillId="20" borderId="37" xfId="0" applyNumberFormat="1" applyFont="1" applyFill="1" applyBorder="1"/>
    <xf numFmtId="9" fontId="18" fillId="20" borderId="6" xfId="0" applyNumberFormat="1" applyFont="1" applyFill="1" applyBorder="1"/>
    <xf numFmtId="167" fontId="18" fillId="0" borderId="0" xfId="0" applyNumberFormat="1" applyFont="1"/>
    <xf numFmtId="167" fontId="18" fillId="0" borderId="6" xfId="0" applyNumberFormat="1" applyFont="1" applyBorder="1"/>
    <xf numFmtId="0" fontId="18" fillId="10" borderId="32" xfId="0" applyFont="1" applyFill="1" applyBorder="1"/>
    <xf numFmtId="0" fontId="0" fillId="0" borderId="21" xfId="0" applyBorder="1" applyAlignment="1">
      <alignment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top"/>
    </xf>
    <xf numFmtId="0" fontId="22" fillId="4" borderId="0" xfId="0" applyFont="1" applyFill="1" applyAlignment="1">
      <alignment horizontal="right" vertical="top" wrapText="1"/>
    </xf>
    <xf numFmtId="0" fontId="2" fillId="9" borderId="17" xfId="0" applyFont="1" applyFill="1" applyBorder="1"/>
    <xf numFmtId="0" fontId="0" fillId="11" borderId="34" xfId="0" applyFill="1" applyBorder="1"/>
    <xf numFmtId="0" fontId="6" fillId="11" borderId="34" xfId="0" applyFont="1" applyFill="1" applyBorder="1"/>
    <xf numFmtId="0" fontId="0" fillId="11" borderId="35" xfId="0" applyFill="1" applyBorder="1"/>
    <xf numFmtId="0" fontId="6" fillId="11" borderId="12" xfId="0" applyFont="1" applyFill="1" applyBorder="1"/>
    <xf numFmtId="0" fontId="6" fillId="11" borderId="14" xfId="0" applyFont="1" applyFill="1" applyBorder="1"/>
    <xf numFmtId="0" fontId="0" fillId="3" borderId="7" xfId="0" applyFill="1" applyBorder="1"/>
    <xf numFmtId="0" fontId="5" fillId="18" borderId="2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3" fontId="0" fillId="8" borderId="6" xfId="0" applyNumberFormat="1" applyFill="1" applyBorder="1" applyAlignment="1">
      <alignment horizontal="center"/>
    </xf>
    <xf numFmtId="3" fontId="0" fillId="8" borderId="8" xfId="0" applyNumberFormat="1" applyFill="1" applyBorder="1" applyAlignment="1">
      <alignment horizontal="center"/>
    </xf>
    <xf numFmtId="0" fontId="2" fillId="3" borderId="35" xfId="0" applyFont="1" applyFill="1" applyBorder="1"/>
    <xf numFmtId="0" fontId="22" fillId="0" borderId="0" xfId="0" applyFont="1" applyAlignment="1">
      <alignment wrapText="1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2" fillId="3" borderId="34" xfId="0" applyFont="1" applyFill="1" applyBorder="1"/>
    <xf numFmtId="0" fontId="0" fillId="2" borderId="19" xfId="0" applyFill="1" applyBorder="1" applyAlignment="1">
      <alignment horizontal="center"/>
    </xf>
    <xf numFmtId="0" fontId="2" fillId="2" borderId="30" xfId="0" applyFont="1" applyFill="1" applyBorder="1"/>
    <xf numFmtId="3" fontId="0" fillId="7" borderId="29" xfId="0" applyNumberFormat="1" applyFill="1" applyBorder="1" applyAlignment="1">
      <alignment horizontal="center"/>
    </xf>
    <xf numFmtId="3" fontId="0" fillId="7" borderId="4" xfId="0" applyNumberFormat="1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3" borderId="17" xfId="0" applyFill="1" applyBorder="1"/>
    <xf numFmtId="0" fontId="2" fillId="2" borderId="40" xfId="0" applyFont="1" applyFill="1" applyBorder="1"/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3" fontId="2" fillId="19" borderId="27" xfId="0" applyNumberFormat="1" applyFont="1" applyFill="1" applyBorder="1"/>
    <xf numFmtId="10" fontId="2" fillId="19" borderId="28" xfId="0" applyNumberFormat="1" applyFont="1" applyFill="1" applyBorder="1"/>
    <xf numFmtId="3" fontId="2" fillId="13" borderId="27" xfId="0" applyNumberFormat="1" applyFont="1" applyFill="1" applyBorder="1"/>
    <xf numFmtId="10" fontId="2" fillId="13" borderId="28" xfId="0" applyNumberFormat="1" applyFont="1" applyFill="1" applyBorder="1"/>
    <xf numFmtId="3" fontId="2" fillId="7" borderId="27" xfId="0" applyNumberFormat="1" applyFont="1" applyFill="1" applyBorder="1"/>
    <xf numFmtId="10" fontId="2" fillId="7" borderId="28" xfId="0" applyNumberFormat="1" applyFont="1" applyFill="1" applyBorder="1"/>
    <xf numFmtId="3" fontId="2" fillId="14" borderId="27" xfId="0" applyNumberFormat="1" applyFont="1" applyFill="1" applyBorder="1"/>
    <xf numFmtId="10" fontId="2" fillId="14" borderId="28" xfId="0" applyNumberFormat="1" applyFont="1" applyFill="1" applyBorder="1"/>
    <xf numFmtId="0" fontId="18" fillId="10" borderId="48" xfId="0" applyFont="1" applyFill="1" applyBorder="1"/>
    <xf numFmtId="0" fontId="19" fillId="0" borderId="49" xfId="0" applyFont="1" applyBorder="1" applyAlignment="1">
      <alignment horizontal="center"/>
    </xf>
    <xf numFmtId="0" fontId="20" fillId="0" borderId="49" xfId="0" applyFont="1" applyBorder="1" applyAlignment="1">
      <alignment horizontal="center"/>
    </xf>
    <xf numFmtId="167" fontId="18" fillId="20" borderId="49" xfId="0" applyNumberFormat="1" applyFont="1" applyFill="1" applyBorder="1"/>
    <xf numFmtId="167" fontId="18" fillId="20" borderId="50" xfId="0" applyNumberFormat="1" applyFont="1" applyFill="1" applyBorder="1"/>
    <xf numFmtId="167" fontId="18" fillId="21" borderId="51" xfId="0" applyNumberFormat="1" applyFont="1" applyFill="1" applyBorder="1"/>
    <xf numFmtId="0" fontId="18" fillId="20" borderId="53" xfId="0" applyFont="1" applyFill="1" applyBorder="1"/>
    <xf numFmtId="9" fontId="18" fillId="20" borderId="53" xfId="0" applyNumberFormat="1" applyFont="1" applyFill="1" applyBorder="1"/>
    <xf numFmtId="167" fontId="18" fillId="20" borderId="54" xfId="0" applyNumberFormat="1" applyFont="1" applyFill="1" applyBorder="1"/>
    <xf numFmtId="167" fontId="18" fillId="0" borderId="53" xfId="0" applyNumberFormat="1" applyFont="1" applyBorder="1"/>
    <xf numFmtId="168" fontId="18" fillId="0" borderId="54" xfId="0" applyNumberFormat="1" applyFont="1" applyBorder="1"/>
    <xf numFmtId="168" fontId="18" fillId="0" borderId="49" xfId="0" applyNumberFormat="1" applyFont="1" applyBorder="1"/>
    <xf numFmtId="168" fontId="18" fillId="0" borderId="56" xfId="0" applyNumberFormat="1" applyFont="1" applyBorder="1"/>
    <xf numFmtId="0" fontId="12" fillId="15" borderId="1" xfId="0" applyFon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9" fillId="0" borderId="0" xfId="0" applyFont="1"/>
    <xf numFmtId="0" fontId="1" fillId="0" borderId="0" xfId="0" applyFont="1"/>
    <xf numFmtId="0" fontId="30" fillId="0" borderId="0" xfId="0" applyFont="1"/>
    <xf numFmtId="0" fontId="27" fillId="4" borderId="0" xfId="0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26" fillId="12" borderId="9" xfId="0" applyFont="1" applyFill="1" applyBorder="1" applyAlignment="1">
      <alignment vertical="top" wrapText="1"/>
    </xf>
    <xf numFmtId="0" fontId="26" fillId="12" borderId="10" xfId="0" applyFont="1" applyFill="1" applyBorder="1" applyAlignment="1">
      <alignment horizontal="center" vertical="top" wrapText="1"/>
    </xf>
    <xf numFmtId="0" fontId="26" fillId="12" borderId="11" xfId="0" applyFont="1" applyFill="1" applyBorder="1" applyAlignment="1">
      <alignment horizontal="center" vertical="top"/>
    </xf>
    <xf numFmtId="0" fontId="27" fillId="12" borderId="12" xfId="0" applyFont="1" applyFill="1" applyBorder="1" applyAlignment="1">
      <alignment vertical="center" wrapText="1"/>
    </xf>
    <xf numFmtId="0" fontId="26" fillId="4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169" fontId="27" fillId="0" borderId="0" xfId="0" applyNumberFormat="1" applyFont="1"/>
    <xf numFmtId="0" fontId="26" fillId="12" borderId="9" xfId="0" applyFont="1" applyFill="1" applyBorder="1"/>
    <xf numFmtId="0" fontId="26" fillId="12" borderId="11" xfId="0" applyFont="1" applyFill="1" applyBorder="1" applyAlignment="1">
      <alignment horizontal="center"/>
    </xf>
    <xf numFmtId="0" fontId="27" fillId="23" borderId="12" xfId="0" applyFont="1" applyFill="1" applyBorder="1"/>
    <xf numFmtId="0" fontId="27" fillId="23" borderId="14" xfId="0" applyFont="1" applyFill="1" applyBorder="1"/>
    <xf numFmtId="9" fontId="27" fillId="22" borderId="1" xfId="0" applyNumberFormat="1" applyFont="1" applyFill="1" applyBorder="1" applyAlignment="1">
      <alignment horizontal="center" vertical="center" wrapText="1"/>
    </xf>
    <xf numFmtId="0" fontId="26" fillId="12" borderId="0" xfId="0" applyFont="1" applyFill="1"/>
    <xf numFmtId="165" fontId="34" fillId="4" borderId="44" xfId="0" applyNumberFormat="1" applyFont="1" applyFill="1" applyBorder="1" applyAlignment="1">
      <alignment vertical="center"/>
    </xf>
    <xf numFmtId="9" fontId="26" fillId="12" borderId="53" xfId="0" applyNumberFormat="1" applyFont="1" applyFill="1" applyBorder="1" applyAlignment="1">
      <alignment horizontal="center"/>
    </xf>
    <xf numFmtId="0" fontId="26" fillId="12" borderId="9" xfId="0" applyFont="1" applyFill="1" applyBorder="1" applyAlignment="1">
      <alignment vertical="center" wrapText="1"/>
    </xf>
    <xf numFmtId="0" fontId="26" fillId="12" borderId="10" xfId="0" applyFont="1" applyFill="1" applyBorder="1" applyAlignment="1">
      <alignment horizontal="center" vertical="center" wrapText="1"/>
    </xf>
    <xf numFmtId="0" fontId="26" fillId="12" borderId="11" xfId="0" applyFont="1" applyFill="1" applyBorder="1" applyAlignment="1">
      <alignment horizontal="center" vertical="center" wrapText="1"/>
    </xf>
    <xf numFmtId="0" fontId="26" fillId="12" borderId="23" xfId="0" applyFont="1" applyFill="1" applyBorder="1"/>
    <xf numFmtId="0" fontId="7" fillId="12" borderId="59" xfId="0" applyFont="1" applyFill="1" applyBorder="1" applyAlignment="1">
      <alignment horizontal="left"/>
    </xf>
    <xf numFmtId="0" fontId="1" fillId="12" borderId="55" xfId="0" applyFont="1" applyFill="1" applyBorder="1"/>
    <xf numFmtId="0" fontId="1" fillId="12" borderId="21" xfId="0" applyFont="1" applyFill="1" applyBorder="1"/>
    <xf numFmtId="0" fontId="31" fillId="12" borderId="40" xfId="0" applyFont="1" applyFill="1" applyBorder="1"/>
    <xf numFmtId="0" fontId="32" fillId="12" borderId="42" xfId="0" applyFont="1" applyFill="1" applyBorder="1"/>
    <xf numFmtId="9" fontId="27" fillId="17" borderId="1" xfId="0" applyNumberFormat="1" applyFont="1" applyFill="1" applyBorder="1" applyAlignment="1">
      <alignment horizontal="center" vertical="center" wrapText="1"/>
    </xf>
    <xf numFmtId="165" fontId="27" fillId="17" borderId="13" xfId="0" applyNumberFormat="1" applyFont="1" applyFill="1" applyBorder="1" applyAlignment="1">
      <alignment vertical="center"/>
    </xf>
    <xf numFmtId="165" fontId="27" fillId="17" borderId="58" xfId="0" applyNumberFormat="1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35" fillId="0" borderId="0" xfId="0" applyFont="1"/>
    <xf numFmtId="0" fontId="0" fillId="19" borderId="5" xfId="0" applyFill="1" applyBorder="1"/>
    <xf numFmtId="0" fontId="12" fillId="14" borderId="22" xfId="0" applyFont="1" applyFill="1" applyBorder="1"/>
    <xf numFmtId="170" fontId="0" fillId="0" borderId="0" xfId="1" applyNumberFormat="1" applyFont="1"/>
    <xf numFmtId="0" fontId="12" fillId="14" borderId="5" xfId="0" applyFont="1" applyFill="1" applyBorder="1"/>
    <xf numFmtId="0" fontId="12" fillId="14" borderId="23" xfId="0" applyFont="1" applyFill="1" applyBorder="1"/>
    <xf numFmtId="0" fontId="0" fillId="14" borderId="24" xfId="0" applyFill="1" applyBorder="1"/>
    <xf numFmtId="0" fontId="0" fillId="19" borderId="5" xfId="0" quotePrefix="1" applyFill="1" applyBorder="1"/>
    <xf numFmtId="0" fontId="12" fillId="14" borderId="7" xfId="0" applyFont="1" applyFill="1" applyBorder="1"/>
    <xf numFmtId="0" fontId="0" fillId="14" borderId="21" xfId="0" applyFill="1" applyBorder="1"/>
    <xf numFmtId="0" fontId="12" fillId="10" borderId="3" xfId="0" applyFont="1" applyFill="1" applyBorder="1"/>
    <xf numFmtId="0" fontId="36" fillId="10" borderId="29" xfId="0" applyFont="1" applyFill="1" applyBorder="1" applyAlignment="1">
      <alignment horizontal="center"/>
    </xf>
    <xf numFmtId="0" fontId="36" fillId="10" borderId="4" xfId="0" applyFont="1" applyFill="1" applyBorder="1" applyAlignment="1">
      <alignment horizontal="center"/>
    </xf>
    <xf numFmtId="0" fontId="13" fillId="19" borderId="3" xfId="0" applyFont="1" applyFill="1" applyBorder="1"/>
    <xf numFmtId="0" fontId="37" fillId="14" borderId="3" xfId="0" applyFont="1" applyFill="1" applyBorder="1"/>
    <xf numFmtId="171" fontId="0" fillId="14" borderId="29" xfId="3" applyNumberFormat="1" applyFont="1" applyFill="1" applyBorder="1" applyAlignment="1">
      <alignment horizontal="right"/>
    </xf>
    <xf numFmtId="10" fontId="0" fillId="14" borderId="4" xfId="0" applyNumberFormat="1" applyFill="1" applyBorder="1" applyAlignment="1">
      <alignment horizontal="right"/>
    </xf>
    <xf numFmtId="0" fontId="0" fillId="4" borderId="59" xfId="0" applyFill="1" applyBorder="1"/>
    <xf numFmtId="0" fontId="0" fillId="4" borderId="60" xfId="0" applyFill="1" applyBorder="1"/>
    <xf numFmtId="0" fontId="37" fillId="11" borderId="61" xfId="0" applyFont="1" applyFill="1" applyBorder="1"/>
    <xf numFmtId="3" fontId="0" fillId="11" borderId="49" xfId="0" applyNumberFormat="1" applyFill="1" applyBorder="1" applyAlignment="1">
      <alignment horizontal="right"/>
    </xf>
    <xf numFmtId="10" fontId="0" fillId="11" borderId="56" xfId="0" applyNumberFormat="1" applyFill="1" applyBorder="1" applyAlignment="1">
      <alignment horizontal="right"/>
    </xf>
    <xf numFmtId="0" fontId="36" fillId="10" borderId="7" xfId="0" applyFont="1" applyFill="1" applyBorder="1" applyAlignment="1">
      <alignment horizontal="center"/>
    </xf>
    <xf numFmtId="3" fontId="0" fillId="10" borderId="21" xfId="0" applyNumberFormat="1" applyFill="1" applyBorder="1" applyAlignment="1">
      <alignment horizontal="right"/>
    </xf>
    <xf numFmtId="9" fontId="0" fillId="10" borderId="8" xfId="3" applyFont="1" applyFill="1" applyBorder="1" applyAlignment="1">
      <alignment horizontal="right"/>
    </xf>
    <xf numFmtId="0" fontId="0" fillId="19" borderId="7" xfId="0" applyFill="1" applyBorder="1"/>
    <xf numFmtId="3" fontId="0" fillId="19" borderId="21" xfId="0" applyNumberFormat="1" applyFill="1" applyBorder="1"/>
    <xf numFmtId="0" fontId="0" fillId="12" borderId="5" xfId="0" applyFill="1" applyBorder="1"/>
    <xf numFmtId="0" fontId="0" fillId="12" borderId="0" xfId="0" applyFill="1"/>
    <xf numFmtId="0" fontId="0" fillId="12" borderId="6" xfId="0" applyFill="1" applyBorder="1"/>
    <xf numFmtId="0" fontId="12" fillId="12" borderId="0" xfId="0" applyFont="1" applyFill="1"/>
    <xf numFmtId="0" fontId="0" fillId="10" borderId="3" xfId="0" applyFill="1" applyBorder="1"/>
    <xf numFmtId="170" fontId="38" fillId="4" borderId="14" xfId="1" applyNumberFormat="1" applyFont="1" applyFill="1" applyBorder="1"/>
    <xf numFmtId="170" fontId="38" fillId="4" borderId="15" xfId="1" applyNumberFormat="1" applyFont="1" applyFill="1" applyBorder="1"/>
    <xf numFmtId="170" fontId="38" fillId="4" borderId="16" xfId="1" applyNumberFormat="1" applyFont="1" applyFill="1" applyBorder="1"/>
    <xf numFmtId="0" fontId="0" fillId="14" borderId="12" xfId="0" applyFill="1" applyBorder="1"/>
    <xf numFmtId="0" fontId="0" fillId="11" borderId="14" xfId="0" applyFill="1" applyBorder="1"/>
    <xf numFmtId="0" fontId="0" fillId="12" borderId="7" xfId="0" applyFill="1" applyBorder="1"/>
    <xf numFmtId="0" fontId="36" fillId="19" borderId="40" xfId="0" applyFont="1" applyFill="1" applyBorder="1"/>
    <xf numFmtId="0" fontId="36" fillId="19" borderId="41" xfId="0" applyFont="1" applyFill="1" applyBorder="1"/>
    <xf numFmtId="0" fontId="36" fillId="19" borderId="42" xfId="0" applyFont="1" applyFill="1" applyBorder="1"/>
    <xf numFmtId="0" fontId="23" fillId="12" borderId="0" xfId="0" applyFont="1" applyFill="1"/>
    <xf numFmtId="0" fontId="12" fillId="14" borderId="40" xfId="0" applyFont="1" applyFill="1" applyBorder="1"/>
    <xf numFmtId="0" fontId="36" fillId="14" borderId="12" xfId="0" applyFont="1" applyFill="1" applyBorder="1"/>
    <xf numFmtId="2" fontId="39" fillId="14" borderId="1" xfId="0" applyNumberFormat="1" applyFont="1" applyFill="1" applyBorder="1" applyAlignment="1">
      <alignment horizontal="center"/>
    </xf>
    <xf numFmtId="2" fontId="39" fillId="14" borderId="13" xfId="0" applyNumberFormat="1" applyFont="1" applyFill="1" applyBorder="1" applyAlignment="1">
      <alignment horizontal="center"/>
    </xf>
    <xf numFmtId="0" fontId="0" fillId="3" borderId="12" xfId="0" applyFill="1" applyBorder="1"/>
    <xf numFmtId="0" fontId="36" fillId="19" borderId="7" xfId="0" applyFont="1" applyFill="1" applyBorder="1"/>
    <xf numFmtId="0" fontId="36" fillId="19" borderId="21" xfId="0" applyFont="1" applyFill="1" applyBorder="1"/>
    <xf numFmtId="0" fontId="36" fillId="19" borderId="8" xfId="0" applyFont="1" applyFill="1" applyBorder="1"/>
    <xf numFmtId="0" fontId="12" fillId="14" borderId="2" xfId="0" applyFont="1" applyFill="1" applyBorder="1"/>
    <xf numFmtId="0" fontId="0" fillId="10" borderId="30" xfId="0" applyFill="1" applyBorder="1"/>
    <xf numFmtId="0" fontId="0" fillId="3" borderId="57" xfId="0" applyFill="1" applyBorder="1"/>
    <xf numFmtId="0" fontId="0" fillId="11" borderId="57" xfId="0" applyFill="1" applyBorder="1"/>
    <xf numFmtId="0" fontId="36" fillId="19" borderId="32" xfId="0" applyFont="1" applyFill="1" applyBorder="1"/>
    <xf numFmtId="0" fontId="12" fillId="11" borderId="12" xfId="0" applyFont="1" applyFill="1" applyBorder="1"/>
    <xf numFmtId="0" fontId="2" fillId="9" borderId="9" xfId="0" applyFont="1" applyFill="1" applyBorder="1"/>
    <xf numFmtId="0" fontId="0" fillId="10" borderId="57" xfId="0" applyFill="1" applyBorder="1"/>
    <xf numFmtId="0" fontId="0" fillId="10" borderId="12" xfId="0" applyFill="1" applyBorder="1"/>
    <xf numFmtId="170" fontId="0" fillId="4" borderId="11" xfId="1" applyNumberFormat="1" applyFont="1" applyFill="1" applyBorder="1"/>
    <xf numFmtId="170" fontId="0" fillId="4" borderId="67" xfId="1" applyNumberFormat="1" applyFont="1" applyFill="1" applyBorder="1"/>
    <xf numFmtId="170" fontId="0" fillId="4" borderId="13" xfId="1" applyNumberFormat="1" applyFont="1" applyFill="1" applyBorder="1"/>
    <xf numFmtId="0" fontId="41" fillId="0" borderId="0" xfId="0" applyFont="1"/>
    <xf numFmtId="0" fontId="42" fillId="0" borderId="0" xfId="0" applyFont="1"/>
    <xf numFmtId="172" fontId="12" fillId="4" borderId="2" xfId="0" applyNumberFormat="1" applyFont="1" applyFill="1" applyBorder="1"/>
    <xf numFmtId="172" fontId="12" fillId="4" borderId="42" xfId="0" applyNumberFormat="1" applyFont="1" applyFill="1" applyBorder="1"/>
    <xf numFmtId="0" fontId="45" fillId="12" borderId="0" xfId="0" applyFont="1" applyFill="1"/>
    <xf numFmtId="0" fontId="18" fillId="10" borderId="69" xfId="0" applyFont="1" applyFill="1" applyBorder="1"/>
    <xf numFmtId="0" fontId="19" fillId="0" borderId="46" xfId="0" applyFont="1" applyBorder="1" applyAlignment="1">
      <alignment horizontal="center"/>
    </xf>
    <xf numFmtId="0" fontId="20" fillId="0" borderId="46" xfId="0" applyFont="1" applyBorder="1" applyAlignment="1">
      <alignment horizontal="center"/>
    </xf>
    <xf numFmtId="10" fontId="18" fillId="0" borderId="70" xfId="0" applyNumberFormat="1" applyFont="1" applyBorder="1"/>
    <xf numFmtId="10" fontId="18" fillId="0" borderId="46" xfId="0" applyNumberFormat="1" applyFont="1" applyBorder="1"/>
    <xf numFmtId="10" fontId="18" fillId="0" borderId="47" xfId="0" applyNumberFormat="1" applyFont="1" applyBorder="1"/>
    <xf numFmtId="0" fontId="0" fillId="0" borderId="49" xfId="0" applyBorder="1" applyAlignment="1">
      <alignment wrapText="1"/>
    </xf>
    <xf numFmtId="10" fontId="18" fillId="0" borderId="54" xfId="0" applyNumberFormat="1" applyFont="1" applyBorder="1"/>
    <xf numFmtId="10" fontId="18" fillId="0" borderId="49" xfId="0" applyNumberFormat="1" applyFont="1" applyBorder="1"/>
    <xf numFmtId="10" fontId="18" fillId="0" borderId="56" xfId="0" applyNumberFormat="1" applyFont="1" applyBorder="1"/>
    <xf numFmtId="174" fontId="0" fillId="19" borderId="1" xfId="0" applyNumberFormat="1" applyFill="1" applyBorder="1"/>
    <xf numFmtId="174" fontId="0" fillId="19" borderId="13" xfId="0" applyNumberFormat="1" applyFill="1" applyBorder="1"/>
    <xf numFmtId="173" fontId="0" fillId="14" borderId="6" xfId="0" applyNumberFormat="1" applyFill="1" applyBorder="1"/>
    <xf numFmtId="174" fontId="0" fillId="14" borderId="6" xfId="0" applyNumberFormat="1" applyFill="1" applyBorder="1"/>
    <xf numFmtId="174" fontId="0" fillId="0" borderId="6" xfId="0" applyNumberFormat="1" applyBorder="1"/>
    <xf numFmtId="174" fontId="0" fillId="11" borderId="6" xfId="0" applyNumberFormat="1" applyFill="1" applyBorder="1"/>
    <xf numFmtId="174" fontId="0" fillId="4" borderId="6" xfId="0" applyNumberFormat="1" applyFill="1" applyBorder="1"/>
    <xf numFmtId="174" fontId="0" fillId="10" borderId="6" xfId="0" applyNumberFormat="1" applyFill="1" applyBorder="1"/>
    <xf numFmtId="174" fontId="0" fillId="2" borderId="6" xfId="0" applyNumberFormat="1" applyFill="1" applyBorder="1"/>
    <xf numFmtId="174" fontId="0" fillId="9" borderId="6" xfId="0" applyNumberFormat="1" applyFill="1" applyBorder="1"/>
    <xf numFmtId="174" fontId="0" fillId="13" borderId="8" xfId="0" applyNumberFormat="1" applyFill="1" applyBorder="1"/>
    <xf numFmtId="174" fontId="0" fillId="4" borderId="0" xfId="0" applyNumberFormat="1" applyFill="1" applyAlignment="1">
      <alignment horizontal="center"/>
    </xf>
    <xf numFmtId="174" fontId="0" fillId="4" borderId="6" xfId="0" applyNumberFormat="1" applyFill="1" applyBorder="1" applyAlignment="1">
      <alignment horizontal="center"/>
    </xf>
    <xf numFmtId="174" fontId="0" fillId="4" borderId="21" xfId="0" applyNumberFormat="1" applyFill="1" applyBorder="1" applyAlignment="1">
      <alignment horizontal="center"/>
    </xf>
    <xf numFmtId="174" fontId="0" fillId="4" borderId="8" xfId="0" applyNumberFormat="1" applyFill="1" applyBorder="1" applyAlignment="1">
      <alignment horizontal="center"/>
    </xf>
    <xf numFmtId="173" fontId="0" fillId="7" borderId="0" xfId="0" applyNumberFormat="1" applyFill="1" applyAlignment="1">
      <alignment horizontal="center"/>
    </xf>
    <xf numFmtId="173" fontId="0" fillId="7" borderId="6" xfId="0" applyNumberFormat="1" applyFill="1" applyBorder="1" applyAlignment="1">
      <alignment horizontal="center"/>
    </xf>
    <xf numFmtId="173" fontId="0" fillId="7" borderId="46" xfId="0" applyNumberFormat="1" applyFill="1" applyBorder="1" applyAlignment="1">
      <alignment horizontal="center"/>
    </xf>
    <xf numFmtId="173" fontId="0" fillId="7" borderId="47" xfId="0" applyNumberFormat="1" applyFill="1" applyBorder="1" applyAlignment="1">
      <alignment horizontal="center"/>
    </xf>
    <xf numFmtId="173" fontId="0" fillId="19" borderId="5" xfId="2" applyNumberFormat="1" applyFont="1" applyFill="1" applyBorder="1"/>
    <xf numFmtId="173" fontId="2" fillId="19" borderId="26" xfId="2" applyNumberFormat="1" applyFont="1" applyFill="1" applyBorder="1"/>
    <xf numFmtId="173" fontId="0" fillId="19" borderId="5" xfId="0" applyNumberFormat="1" applyFill="1" applyBorder="1"/>
    <xf numFmtId="173" fontId="2" fillId="19" borderId="26" xfId="0" applyNumberFormat="1" applyFont="1" applyFill="1" applyBorder="1"/>
    <xf numFmtId="173" fontId="0" fillId="19" borderId="0" xfId="0" applyNumberFormat="1" applyFill="1"/>
    <xf numFmtId="174" fontId="0" fillId="19" borderId="0" xfId="0" applyNumberFormat="1" applyFill="1"/>
    <xf numFmtId="174" fontId="2" fillId="19" borderId="27" xfId="0" applyNumberFormat="1" applyFont="1" applyFill="1" applyBorder="1"/>
    <xf numFmtId="173" fontId="10" fillId="4" borderId="30" xfId="0" applyNumberFormat="1" applyFont="1" applyFill="1" applyBorder="1"/>
    <xf numFmtId="173" fontId="0" fillId="10" borderId="31" xfId="0" applyNumberFormat="1" applyFill="1" applyBorder="1"/>
    <xf numFmtId="173" fontId="0" fillId="10" borderId="32" xfId="0" applyNumberFormat="1" applyFill="1" applyBorder="1"/>
    <xf numFmtId="173" fontId="10" fillId="4" borderId="4" xfId="0" applyNumberFormat="1" applyFont="1" applyFill="1" applyBorder="1"/>
    <xf numFmtId="173" fontId="0" fillId="14" borderId="8" xfId="0" applyNumberFormat="1" applyFill="1" applyBorder="1"/>
    <xf numFmtId="173" fontId="2" fillId="13" borderId="26" xfId="2" applyNumberFormat="1" applyFont="1" applyFill="1" applyBorder="1"/>
    <xf numFmtId="173" fontId="2" fillId="7" borderId="26" xfId="0" applyNumberFormat="1" applyFont="1" applyFill="1" applyBorder="1"/>
    <xf numFmtId="173" fontId="2" fillId="14" borderId="27" xfId="0" applyNumberFormat="1" applyFont="1" applyFill="1" applyBorder="1"/>
    <xf numFmtId="173" fontId="12" fillId="4" borderId="30" xfId="0" applyNumberFormat="1" applyFont="1" applyFill="1" applyBorder="1"/>
    <xf numFmtId="173" fontId="12" fillId="4" borderId="4" xfId="0" applyNumberFormat="1" applyFont="1" applyFill="1" applyBorder="1"/>
    <xf numFmtId="173" fontId="18" fillId="20" borderId="52" xfId="0" applyNumberFormat="1" applyFont="1" applyFill="1" applyBorder="1"/>
    <xf numFmtId="173" fontId="18" fillId="21" borderId="39" xfId="0" applyNumberFormat="1" applyFont="1" applyFill="1" applyBorder="1"/>
    <xf numFmtId="173" fontId="18" fillId="20" borderId="37" xfId="0" applyNumberFormat="1" applyFont="1" applyFill="1" applyBorder="1"/>
    <xf numFmtId="173" fontId="18" fillId="20" borderId="0" xfId="0" applyNumberFormat="1" applyFont="1" applyFill="1"/>
    <xf numFmtId="173" fontId="18" fillId="20" borderId="6" xfId="0" applyNumberFormat="1" applyFont="1" applyFill="1" applyBorder="1"/>
    <xf numFmtId="173" fontId="18" fillId="20" borderId="53" xfId="0" applyNumberFormat="1" applyFont="1" applyFill="1" applyBorder="1"/>
    <xf numFmtId="173" fontId="18" fillId="20" borderId="38" xfId="0" applyNumberFormat="1" applyFont="1" applyFill="1" applyBorder="1"/>
    <xf numFmtId="173" fontId="18" fillId="21" borderId="36" xfId="0" applyNumberFormat="1" applyFont="1" applyFill="1" applyBorder="1"/>
    <xf numFmtId="173" fontId="18" fillId="20" borderId="43" xfId="0" applyNumberFormat="1" applyFont="1" applyFill="1" applyBorder="1"/>
    <xf numFmtId="173" fontId="18" fillId="0" borderId="53" xfId="0" applyNumberFormat="1" applyFont="1" applyBorder="1"/>
    <xf numFmtId="173" fontId="18" fillId="0" borderId="0" xfId="0" applyNumberFormat="1" applyFont="1"/>
    <xf numFmtId="173" fontId="18" fillId="0" borderId="6" xfId="0" applyNumberFormat="1" applyFont="1" applyBorder="1"/>
    <xf numFmtId="173" fontId="18" fillId="0" borderId="55" xfId="0" applyNumberFormat="1" applyFont="1" applyBorder="1"/>
    <xf numFmtId="173" fontId="18" fillId="0" borderId="21" xfId="0" applyNumberFormat="1" applyFont="1" applyBorder="1"/>
    <xf numFmtId="173" fontId="18" fillId="0" borderId="8" xfId="0" applyNumberFormat="1" applyFont="1" applyBorder="1"/>
    <xf numFmtId="173" fontId="27" fillId="0" borderId="1" xfId="0" applyNumberFormat="1" applyFont="1" applyBorder="1" applyAlignment="1">
      <alignment horizontal="center" vertical="center" wrapText="1"/>
    </xf>
    <xf numFmtId="173" fontId="27" fillId="22" borderId="13" xfId="0" applyNumberFormat="1" applyFont="1" applyFill="1" applyBorder="1"/>
    <xf numFmtId="173" fontId="26" fillId="10" borderId="16" xfId="0" applyNumberFormat="1" applyFont="1" applyFill="1" applyBorder="1"/>
    <xf numFmtId="0" fontId="27" fillId="0" borderId="0" xfId="0" applyFont="1" applyAlignment="1">
      <alignment horizontal="left" vertical="center" wrapText="1"/>
    </xf>
    <xf numFmtId="173" fontId="27" fillId="23" borderId="13" xfId="0" applyNumberFormat="1" applyFont="1" applyFill="1" applyBorder="1"/>
    <xf numFmtId="173" fontId="27" fillId="23" borderId="16" xfId="0" applyNumberFormat="1" applyFont="1" applyFill="1" applyBorder="1"/>
    <xf numFmtId="173" fontId="33" fillId="4" borderId="2" xfId="0" applyNumberFormat="1" applyFont="1" applyFill="1" applyBorder="1"/>
    <xf numFmtId="173" fontId="34" fillId="4" borderId="57" xfId="0" applyNumberFormat="1" applyFont="1" applyFill="1" applyBorder="1" applyAlignment="1">
      <alignment vertical="center"/>
    </xf>
    <xf numFmtId="173" fontId="7" fillId="4" borderId="45" xfId="0" applyNumberFormat="1" applyFont="1" applyFill="1" applyBorder="1"/>
    <xf numFmtId="2" fontId="0" fillId="17" borderId="13" xfId="0" applyNumberFormat="1" applyFill="1" applyBorder="1"/>
    <xf numFmtId="170" fontId="0" fillId="17" borderId="68" xfId="0" applyNumberFormat="1" applyFill="1" applyBorder="1"/>
    <xf numFmtId="171" fontId="0" fillId="17" borderId="13" xfId="0" applyNumberFormat="1" applyFill="1" applyBorder="1"/>
    <xf numFmtId="10" fontId="0" fillId="14" borderId="20" xfId="3" applyNumberFormat="1" applyFont="1" applyFill="1" applyBorder="1"/>
    <xf numFmtId="10" fontId="0" fillId="14" borderId="24" xfId="3" applyNumberFormat="1" applyFont="1" applyFill="1" applyBorder="1"/>
    <xf numFmtId="0" fontId="0" fillId="14" borderId="0" xfId="0" applyFill="1"/>
    <xf numFmtId="170" fontId="0" fillId="17" borderId="13" xfId="0" applyNumberFormat="1" applyFill="1" applyBorder="1"/>
    <xf numFmtId="170" fontId="0" fillId="4" borderId="58" xfId="1" applyNumberFormat="1" applyFont="1" applyFill="1" applyBorder="1"/>
    <xf numFmtId="10" fontId="0" fillId="14" borderId="0" xfId="3" applyNumberFormat="1" applyFont="1" applyFill="1" applyBorder="1"/>
    <xf numFmtId="170" fontId="0" fillId="14" borderId="62" xfId="1" applyNumberFormat="1" applyFont="1" applyFill="1" applyBorder="1"/>
    <xf numFmtId="170" fontId="0" fillId="14" borderId="63" xfId="1" applyNumberFormat="1" applyFont="1" applyFill="1" applyBorder="1"/>
    <xf numFmtId="170" fontId="0" fillId="11" borderId="15" xfId="1" applyNumberFormat="1" applyFont="1" applyFill="1" applyBorder="1"/>
    <xf numFmtId="170" fontId="0" fillId="11" borderId="16" xfId="1" applyNumberFormat="1" applyFont="1" applyFill="1" applyBorder="1"/>
    <xf numFmtId="170" fontId="3" fillId="14" borderId="1" xfId="1" applyNumberFormat="1" applyFont="1" applyFill="1" applyBorder="1"/>
    <xf numFmtId="170" fontId="3" fillId="14" borderId="13" xfId="1" applyNumberFormat="1" applyFont="1" applyFill="1" applyBorder="1"/>
    <xf numFmtId="170" fontId="0" fillId="3" borderId="1" xfId="1" applyNumberFormat="1" applyFont="1" applyFill="1" applyBorder="1"/>
    <xf numFmtId="170" fontId="0" fillId="3" borderId="13" xfId="1" applyNumberFormat="1" applyFont="1" applyFill="1" applyBorder="1"/>
    <xf numFmtId="170" fontId="0" fillId="11" borderId="1" xfId="1" applyNumberFormat="1" applyFont="1" applyFill="1" applyBorder="1"/>
    <xf numFmtId="170" fontId="0" fillId="11" borderId="13" xfId="1" applyNumberFormat="1" applyFont="1" applyFill="1" applyBorder="1"/>
    <xf numFmtId="170" fontId="3" fillId="14" borderId="66" xfId="1" applyNumberFormat="1" applyFont="1" applyFill="1" applyBorder="1"/>
    <xf numFmtId="170" fontId="0" fillId="3" borderId="66" xfId="1" applyNumberFormat="1" applyFont="1" applyFill="1" applyBorder="1"/>
    <xf numFmtId="170" fontId="0" fillId="11" borderId="66" xfId="1" applyNumberFormat="1" applyFont="1" applyFill="1" applyBorder="1"/>
    <xf numFmtId="10" fontId="0" fillId="14" borderId="66" xfId="3" applyNumberFormat="1" applyFont="1" applyFill="1" applyBorder="1"/>
    <xf numFmtId="170" fontId="0" fillId="0" borderId="0" xfId="0" applyNumberFormat="1"/>
    <xf numFmtId="10" fontId="0" fillId="0" borderId="0" xfId="0" applyNumberFormat="1"/>
    <xf numFmtId="0" fontId="2" fillId="0" borderId="0" xfId="0" applyFont="1"/>
    <xf numFmtId="0" fontId="0" fillId="12" borderId="71" xfId="0" applyFill="1" applyBorder="1"/>
    <xf numFmtId="0" fontId="0" fillId="12" borderId="62" xfId="0" applyFill="1" applyBorder="1"/>
    <xf numFmtId="0" fontId="47" fillId="10" borderId="3" xfId="0" applyFont="1" applyFill="1" applyBorder="1" applyAlignment="1">
      <alignment horizontal="center" vertical="center"/>
    </xf>
    <xf numFmtId="0" fontId="48" fillId="10" borderId="29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0" fillId="10" borderId="5" xfId="0" applyFill="1" applyBorder="1"/>
    <xf numFmtId="3" fontId="0" fillId="4" borderId="0" xfId="0" applyNumberFormat="1" applyFill="1"/>
    <xf numFmtId="3" fontId="0" fillId="4" borderId="6" xfId="0" applyNumberFormat="1" applyFill="1" applyBorder="1"/>
    <xf numFmtId="3" fontId="0" fillId="13" borderId="0" xfId="0" applyNumberFormat="1" applyFill="1"/>
    <xf numFmtId="3" fontId="0" fillId="13" borderId="6" xfId="0" applyNumberFormat="1" applyFill="1" applyBorder="1"/>
    <xf numFmtId="176" fontId="0" fillId="13" borderId="0" xfId="0" applyNumberFormat="1" applyFill="1"/>
    <xf numFmtId="176" fontId="0" fillId="13" borderId="6" xfId="0" applyNumberFormat="1" applyFill="1" applyBorder="1"/>
    <xf numFmtId="175" fontId="0" fillId="13" borderId="0" xfId="0" applyNumberFormat="1" applyFill="1"/>
    <xf numFmtId="10" fontId="0" fillId="13" borderId="0" xfId="0" applyNumberFormat="1" applyFill="1"/>
    <xf numFmtId="10" fontId="0" fillId="13" borderId="6" xfId="0" applyNumberFormat="1" applyFill="1" applyBorder="1"/>
    <xf numFmtId="0" fontId="2" fillId="26" borderId="23" xfId="0" applyFont="1" applyFill="1" applyBorder="1" applyAlignment="1">
      <alignment wrapText="1"/>
    </xf>
    <xf numFmtId="0" fontId="0" fillId="26" borderId="24" xfId="0" applyFill="1" applyBorder="1" applyAlignment="1">
      <alignment vertical="center" wrapText="1"/>
    </xf>
    <xf numFmtId="0" fontId="0" fillId="26" borderId="24" xfId="0" applyFill="1" applyBorder="1" applyAlignment="1">
      <alignment wrapText="1"/>
    </xf>
    <xf numFmtId="0" fontId="0" fillId="26" borderId="25" xfId="0" applyFill="1" applyBorder="1" applyAlignment="1">
      <alignment wrapText="1"/>
    </xf>
    <xf numFmtId="0" fontId="0" fillId="26" borderId="24" xfId="0" applyFill="1" applyBorder="1" applyAlignment="1">
      <alignment vertical="center"/>
    </xf>
    <xf numFmtId="175" fontId="0" fillId="26" borderId="24" xfId="0" applyNumberFormat="1" applyFill="1" applyBorder="1"/>
    <xf numFmtId="175" fontId="0" fillId="26" borderId="25" xfId="0" applyNumberFormat="1" applyFill="1" applyBorder="1"/>
    <xf numFmtId="3" fontId="0" fillId="13" borderId="49" xfId="0" applyNumberFormat="1" applyFill="1" applyBorder="1"/>
    <xf numFmtId="3" fontId="0" fillId="13" borderId="56" xfId="0" applyNumberFormat="1" applyFill="1" applyBorder="1"/>
    <xf numFmtId="0" fontId="0" fillId="10" borderId="61" xfId="0" applyFill="1" applyBorder="1"/>
    <xf numFmtId="0" fontId="36" fillId="10" borderId="23" xfId="0" applyFont="1" applyFill="1" applyBorder="1" applyAlignment="1">
      <alignment horizontal="left" indent="2"/>
    </xf>
    <xf numFmtId="10" fontId="0" fillId="10" borderId="24" xfId="3" applyNumberFormat="1" applyFont="1" applyFill="1" applyBorder="1"/>
    <xf numFmtId="0" fontId="48" fillId="10" borderId="1" xfId="0" applyFont="1" applyFill="1" applyBorder="1" applyAlignment="1">
      <alignment horizontal="center" vertical="center"/>
    </xf>
    <xf numFmtId="10" fontId="0" fillId="10" borderId="72" xfId="0" applyNumberFormat="1" applyFill="1" applyBorder="1"/>
    <xf numFmtId="0" fontId="36" fillId="10" borderId="5" xfId="0" applyFont="1" applyFill="1" applyBorder="1" applyAlignment="1">
      <alignment horizontal="left" indent="2"/>
    </xf>
    <xf numFmtId="0" fontId="36" fillId="10" borderId="5" xfId="0" applyFont="1" applyFill="1" applyBorder="1" applyAlignment="1">
      <alignment horizontal="left" indent="1"/>
    </xf>
    <xf numFmtId="10" fontId="36" fillId="13" borderId="0" xfId="3" applyNumberFormat="1" applyFont="1" applyFill="1" applyBorder="1"/>
    <xf numFmtId="0" fontId="36" fillId="12" borderId="71" xfId="0" applyFont="1" applyFill="1" applyBorder="1"/>
    <xf numFmtId="10" fontId="36" fillId="13" borderId="0" xfId="0" applyNumberFormat="1" applyFont="1" applyFill="1"/>
    <xf numFmtId="10" fontId="36" fillId="13" borderId="6" xfId="3" applyNumberFormat="1" applyFont="1" applyFill="1" applyBorder="1"/>
    <xf numFmtId="10" fontId="0" fillId="10" borderId="25" xfId="3" applyNumberFormat="1" applyFont="1" applyFill="1" applyBorder="1"/>
    <xf numFmtId="10" fontId="36" fillId="13" borderId="6" xfId="0" applyNumberFormat="1" applyFont="1" applyFill="1" applyBorder="1"/>
    <xf numFmtId="0" fontId="36" fillId="10" borderId="59" xfId="0" applyFont="1" applyFill="1" applyBorder="1" applyAlignment="1">
      <alignment horizontal="left" indent="2"/>
    </xf>
    <xf numFmtId="0" fontId="48" fillId="10" borderId="15" xfId="0" applyFont="1" applyFill="1" applyBorder="1" applyAlignment="1">
      <alignment horizontal="center" vertical="center"/>
    </xf>
    <xf numFmtId="10" fontId="0" fillId="10" borderId="60" xfId="0" applyNumberFormat="1" applyFill="1" applyBorder="1"/>
    <xf numFmtId="173" fontId="0" fillId="4" borderId="0" xfId="0" applyNumberFormat="1" applyFill="1"/>
    <xf numFmtId="173" fontId="0" fillId="13" borderId="0" xfId="0" applyNumberFormat="1" applyFill="1"/>
    <xf numFmtId="173" fontId="0" fillId="13" borderId="6" xfId="0" applyNumberFormat="1" applyFill="1" applyBorder="1"/>
    <xf numFmtId="173" fontId="0" fillId="4" borderId="0" xfId="2" applyNumberFormat="1" applyFont="1" applyFill="1" applyBorder="1"/>
    <xf numFmtId="173" fontId="0" fillId="13" borderId="0" xfId="2" applyNumberFormat="1" applyFont="1" applyFill="1" applyBorder="1"/>
    <xf numFmtId="173" fontId="0" fillId="13" borderId="6" xfId="2" applyNumberFormat="1" applyFont="1" applyFill="1" applyBorder="1"/>
    <xf numFmtId="9" fontId="36" fillId="4" borderId="71" xfId="3" applyFont="1" applyFill="1" applyBorder="1"/>
    <xf numFmtId="3" fontId="36" fillId="4" borderId="0" xfId="0" applyNumberFormat="1" applyFont="1" applyFill="1"/>
    <xf numFmtId="3" fontId="36" fillId="4" borderId="6" xfId="0" applyNumberFormat="1" applyFont="1" applyFill="1" applyBorder="1"/>
    <xf numFmtId="0" fontId="36" fillId="10" borderId="61" xfId="0" applyFont="1" applyFill="1" applyBorder="1" applyAlignment="1">
      <alignment horizontal="left" indent="1"/>
    </xf>
    <xf numFmtId="9" fontId="36" fillId="13" borderId="62" xfId="3" applyFont="1" applyFill="1" applyBorder="1"/>
    <xf numFmtId="3" fontId="36" fillId="13" borderId="49" xfId="0" applyNumberFormat="1" applyFont="1" applyFill="1" applyBorder="1"/>
    <xf numFmtId="3" fontId="36" fillId="13" borderId="56" xfId="0" applyNumberFormat="1" applyFont="1" applyFill="1" applyBorder="1"/>
    <xf numFmtId="0" fontId="0" fillId="10" borderId="73" xfId="0" applyFill="1" applyBorder="1"/>
    <xf numFmtId="0" fontId="0" fillId="12" borderId="74" xfId="0" applyFill="1" applyBorder="1"/>
    <xf numFmtId="176" fontId="0" fillId="13" borderId="46" xfId="0" applyNumberFormat="1" applyFill="1" applyBorder="1"/>
    <xf numFmtId="176" fontId="0" fillId="13" borderId="47" xfId="0" applyNumberFormat="1" applyFill="1" applyBorder="1"/>
    <xf numFmtId="0" fontId="51" fillId="13" borderId="5" xfId="0" applyFont="1" applyFill="1" applyBorder="1" applyAlignment="1">
      <alignment vertical="center"/>
    </xf>
    <xf numFmtId="0" fontId="0" fillId="13" borderId="0" xfId="0" applyFill="1"/>
    <xf numFmtId="0" fontId="0" fillId="13" borderId="6" xfId="0" applyFill="1" applyBorder="1"/>
    <xf numFmtId="0" fontId="52" fillId="13" borderId="5" xfId="0" applyFont="1" applyFill="1" applyBorder="1" applyAlignment="1">
      <alignment horizontal="center" vertical="center"/>
    </xf>
    <xf numFmtId="0" fontId="51" fillId="13" borderId="5" xfId="0" applyFont="1" applyFill="1" applyBorder="1" applyAlignment="1">
      <alignment horizontal="center" vertical="center"/>
    </xf>
    <xf numFmtId="3" fontId="52" fillId="13" borderId="5" xfId="0" applyNumberFormat="1" applyFont="1" applyFill="1" applyBorder="1" applyAlignment="1">
      <alignment horizontal="left" vertical="center" indent="6"/>
    </xf>
    <xf numFmtId="3" fontId="51" fillId="13" borderId="5" xfId="0" applyNumberFormat="1" applyFont="1" applyFill="1" applyBorder="1" applyAlignment="1">
      <alignment horizontal="left" vertical="center" indent="6"/>
    </xf>
    <xf numFmtId="9" fontId="55" fillId="13" borderId="5" xfId="3" applyFont="1" applyFill="1" applyBorder="1" applyAlignment="1">
      <alignment horizontal="center" vertical="center"/>
    </xf>
    <xf numFmtId="0" fontId="0" fillId="13" borderId="5" xfId="0" applyFill="1" applyBorder="1"/>
    <xf numFmtId="0" fontId="53" fillId="13" borderId="5" xfId="0" applyFont="1" applyFill="1" applyBorder="1" applyAlignment="1">
      <alignment vertical="center"/>
    </xf>
    <xf numFmtId="0" fontId="54" fillId="13" borderId="7" xfId="0" applyFont="1" applyFill="1" applyBorder="1" applyAlignment="1">
      <alignment vertical="center"/>
    </xf>
    <xf numFmtId="0" fontId="0" fillId="13" borderId="21" xfId="0" applyFill="1" applyBorder="1"/>
    <xf numFmtId="0" fontId="0" fillId="13" borderId="8" xfId="0" applyFill="1" applyBorder="1"/>
    <xf numFmtId="0" fontId="4" fillId="13" borderId="5" xfId="0" applyFont="1" applyFill="1" applyBorder="1" applyAlignment="1">
      <alignment vertical="center"/>
    </xf>
    <xf numFmtId="3" fontId="52" fillId="13" borderId="5" xfId="0" applyNumberFormat="1" applyFont="1" applyFill="1" applyBorder="1" applyAlignment="1">
      <alignment horizontal="center" vertical="center"/>
    </xf>
    <xf numFmtId="3" fontId="51" fillId="13" borderId="5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left" indent="1"/>
    </xf>
    <xf numFmtId="10" fontId="2" fillId="13" borderId="0" xfId="0" applyNumberFormat="1" applyFont="1" applyFill="1"/>
    <xf numFmtId="10" fontId="2" fillId="13" borderId="6" xfId="0" applyNumberFormat="1" applyFont="1" applyFill="1" applyBorder="1"/>
    <xf numFmtId="10" fontId="2" fillId="13" borderId="0" xfId="3" applyNumberFormat="1" applyFont="1" applyFill="1" applyBorder="1"/>
    <xf numFmtId="10" fontId="2" fillId="13" borderId="6" xfId="3" applyNumberFormat="1" applyFont="1" applyFill="1" applyBorder="1"/>
    <xf numFmtId="10" fontId="0" fillId="13" borderId="1" xfId="3" applyNumberFormat="1" applyFont="1" applyFill="1" applyBorder="1"/>
    <xf numFmtId="10" fontId="0" fillId="13" borderId="1" xfId="0" applyNumberFormat="1" applyFill="1" applyBorder="1"/>
    <xf numFmtId="3" fontId="0" fillId="13" borderId="1" xfId="0" applyNumberFormat="1" applyFill="1" applyBorder="1"/>
    <xf numFmtId="0" fontId="2" fillId="10" borderId="5" xfId="0" applyFont="1" applyFill="1" applyBorder="1"/>
    <xf numFmtId="3" fontId="2" fillId="13" borderId="0" xfId="0" applyNumberFormat="1" applyFont="1" applyFill="1"/>
    <xf numFmtId="3" fontId="2" fillId="13" borderId="6" xfId="0" applyNumberFormat="1" applyFont="1" applyFill="1" applyBorder="1"/>
    <xf numFmtId="0" fontId="27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26" fillId="10" borderId="59" xfId="0" applyFont="1" applyFill="1" applyBorder="1" applyAlignment="1">
      <alignment horizontal="center"/>
    </xf>
    <xf numFmtId="0" fontId="26" fillId="10" borderId="65" xfId="0" applyFont="1" applyFill="1" applyBorder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12" fillId="15" borderId="18" xfId="0" applyFont="1" applyFill="1" applyBorder="1" applyAlignment="1">
      <alignment horizont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6" fontId="2" fillId="17" borderId="22" xfId="0" applyNumberFormat="1" applyFont="1" applyFill="1" applyBorder="1" applyAlignment="1">
      <alignment horizontal="center"/>
    </xf>
    <xf numFmtId="166" fontId="2" fillId="17" borderId="20" xfId="0" applyNumberFormat="1" applyFont="1" applyFill="1" applyBorder="1" applyAlignment="1">
      <alignment horizontal="center"/>
    </xf>
    <xf numFmtId="166" fontId="2" fillId="17" borderId="19" xfId="0" applyNumberFormat="1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20" xfId="0" applyFont="1" applyFill="1" applyBorder="1" applyAlignment="1">
      <alignment horizontal="center"/>
    </xf>
    <xf numFmtId="0" fontId="2" fillId="13" borderId="19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37" fillId="10" borderId="64" xfId="0" applyFont="1" applyFill="1" applyBorder="1" applyAlignment="1">
      <alignment horizontal="center"/>
    </xf>
    <xf numFmtId="0" fontId="37" fillId="10" borderId="10" xfId="0" applyFont="1" applyFill="1" applyBorder="1" applyAlignment="1">
      <alignment horizontal="center"/>
    </xf>
    <xf numFmtId="0" fontId="37" fillId="10" borderId="11" xfId="0" applyFont="1" applyFill="1" applyBorder="1" applyAlignment="1">
      <alignment horizontal="center"/>
    </xf>
    <xf numFmtId="0" fontId="46" fillId="24" borderId="3" xfId="0" applyFont="1" applyFill="1" applyBorder="1" applyAlignment="1">
      <alignment horizontal="center"/>
    </xf>
    <xf numFmtId="0" fontId="46" fillId="24" borderId="29" xfId="0" applyFont="1" applyFill="1" applyBorder="1" applyAlignment="1">
      <alignment horizontal="center"/>
    </xf>
    <xf numFmtId="0" fontId="46" fillId="24" borderId="4" xfId="0" applyFont="1" applyFill="1" applyBorder="1" applyAlignment="1">
      <alignment horizontal="center"/>
    </xf>
    <xf numFmtId="0" fontId="46" fillId="25" borderId="3" xfId="0" applyFont="1" applyFill="1" applyBorder="1" applyAlignment="1">
      <alignment horizontal="center"/>
    </xf>
    <xf numFmtId="0" fontId="46" fillId="25" borderId="29" xfId="0" applyFont="1" applyFill="1" applyBorder="1" applyAlignment="1">
      <alignment horizontal="center"/>
    </xf>
    <xf numFmtId="0" fontId="46" fillId="25" borderId="4" xfId="0" applyFont="1" applyFill="1" applyBorder="1" applyAlignment="1">
      <alignment horizontal="center"/>
    </xf>
    <xf numFmtId="0" fontId="37" fillId="10" borderId="9" xfId="0" applyFont="1" applyFill="1" applyBorder="1" applyAlignment="1">
      <alignment horizontal="center"/>
    </xf>
    <xf numFmtId="0" fontId="54" fillId="13" borderId="5" xfId="0" applyFont="1" applyFill="1" applyBorder="1"/>
    <xf numFmtId="0" fontId="54" fillId="13" borderId="0" xfId="0" applyFont="1" applyFill="1"/>
    <xf numFmtId="0" fontId="54" fillId="13" borderId="6" xfId="0" applyFont="1" applyFill="1" applyBorder="1"/>
    <xf numFmtId="0" fontId="54" fillId="13" borderId="7" xfId="0" applyFont="1" applyFill="1" applyBorder="1" applyAlignment="1">
      <alignment vertical="center"/>
    </xf>
    <xf numFmtId="0" fontId="54" fillId="13" borderId="21" xfId="0" applyFont="1" applyFill="1" applyBorder="1" applyAlignment="1">
      <alignment vertical="center"/>
    </xf>
    <xf numFmtId="0" fontId="54" fillId="13" borderId="8" xfId="0" applyFont="1" applyFill="1" applyBorder="1" applyAlignment="1">
      <alignment vertical="center"/>
    </xf>
    <xf numFmtId="0" fontId="51" fillId="13" borderId="7" xfId="0" applyFont="1" applyFill="1" applyBorder="1" applyAlignment="1">
      <alignment vertical="center"/>
    </xf>
    <xf numFmtId="0" fontId="51" fillId="13" borderId="21" xfId="0" applyFont="1" applyFill="1" applyBorder="1" applyAlignment="1">
      <alignment vertical="center"/>
    </xf>
    <xf numFmtId="0" fontId="51" fillId="13" borderId="8" xfId="0" applyFont="1" applyFill="1" applyBorder="1" applyAlignment="1">
      <alignment vertical="center"/>
    </xf>
    <xf numFmtId="0" fontId="50" fillId="10" borderId="22" xfId="0" applyFont="1" applyFill="1" applyBorder="1" applyAlignment="1">
      <alignment vertical="center"/>
    </xf>
    <xf numFmtId="0" fontId="50" fillId="10" borderId="20" xfId="0" applyFont="1" applyFill="1" applyBorder="1" applyAlignment="1">
      <alignment vertical="center"/>
    </xf>
    <xf numFmtId="0" fontId="50" fillId="10" borderId="19" xfId="0" applyFont="1" applyFill="1" applyBorder="1" applyAlignment="1">
      <alignment vertical="center"/>
    </xf>
    <xf numFmtId="0" fontId="50" fillId="10" borderId="3" xfId="0" applyFont="1" applyFill="1" applyBorder="1" applyAlignment="1">
      <alignment vertical="center"/>
    </xf>
    <xf numFmtId="0" fontId="50" fillId="10" borderId="29" xfId="0" applyFont="1" applyFill="1" applyBorder="1" applyAlignment="1">
      <alignment vertical="center"/>
    </xf>
    <xf numFmtId="0" fontId="50" fillId="10" borderId="4" xfId="0" applyFont="1" applyFill="1" applyBorder="1" applyAlignment="1">
      <alignment vertical="center"/>
    </xf>
    <xf numFmtId="0" fontId="36" fillId="10" borderId="61" xfId="0" applyFont="1" applyFill="1" applyBorder="1" applyAlignment="1">
      <alignment vertical="center"/>
    </xf>
    <xf numFmtId="0" fontId="36" fillId="10" borderId="49" xfId="0" applyFont="1" applyFill="1" applyBorder="1" applyAlignment="1">
      <alignment vertical="center"/>
    </xf>
    <xf numFmtId="0" fontId="36" fillId="10" borderId="56" xfId="0" applyFont="1" applyFill="1" applyBorder="1" applyAlignment="1">
      <alignment vertical="center"/>
    </xf>
    <xf numFmtId="0" fontId="51" fillId="13" borderId="5" xfId="0" applyFont="1" applyFill="1" applyBorder="1" applyAlignment="1">
      <alignment vertical="center"/>
    </xf>
    <xf numFmtId="0" fontId="51" fillId="13" borderId="0" xfId="0" applyFont="1" applyFill="1" applyAlignment="1">
      <alignment vertical="center"/>
    </xf>
    <xf numFmtId="0" fontId="51" fillId="13" borderId="6" xfId="0" applyFont="1" applyFill="1" applyBorder="1" applyAlignment="1">
      <alignment vertical="center"/>
    </xf>
    <xf numFmtId="0" fontId="53" fillId="13" borderId="5" xfId="0" applyFont="1" applyFill="1" applyBorder="1" applyAlignment="1">
      <alignment vertical="center"/>
    </xf>
    <xf numFmtId="0" fontId="53" fillId="13" borderId="0" xfId="0" applyFont="1" applyFill="1" applyAlignment="1">
      <alignment vertical="center"/>
    </xf>
    <xf numFmtId="0" fontId="53" fillId="13" borderId="6" xfId="0" applyFont="1" applyFill="1" applyBorder="1" applyAlignment="1">
      <alignment vertical="center"/>
    </xf>
    <xf numFmtId="0" fontId="36" fillId="12" borderId="40" xfId="0" applyFont="1" applyFill="1" applyBorder="1"/>
    <xf numFmtId="0" fontId="36" fillId="12" borderId="42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Investors Purchase PARTICIPATING Prefered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ConvPartPrefGENERAL!$B$66</c:f>
              <c:strCache>
                <c:ptCount val="1"/>
                <c:pt idx="0">
                  <c:v>Total return to investors (pref + conversion)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ConvPartPrefGENERAL!$C$63:$I$63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ConvPartPrefGENERAL!$C$66:$I$66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16250000</c:v>
                </c:pt>
                <c:pt idx="4">
                  <c:v>23750000</c:v>
                </c:pt>
                <c:pt idx="5">
                  <c:v>36250000</c:v>
                </c:pt>
                <c:pt idx="6">
                  <c:v>48750000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84-7C43-8381-78CB0FF1BC31}"/>
            </c:ext>
          </c:extLst>
        </c:ser>
        <c:ser>
          <c:idx val="1"/>
          <c:order val="1"/>
          <c:tx>
            <c:strRef>
              <c:f>ConvPartPrefGENERAL!$B$67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ConvPartPrefGENERAL!$C$63:$I$63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ConvPartPrefGENERAL!$C$67:$I$67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3750000</c:v>
                </c:pt>
                <c:pt idx="4">
                  <c:v>26250000</c:v>
                </c:pt>
                <c:pt idx="5">
                  <c:v>63750000</c:v>
                </c:pt>
                <c:pt idx="6">
                  <c:v>101250000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84-7C43-8381-78CB0FF1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99919"/>
        <c:axId val="300555855"/>
      </c:barChart>
      <c:catAx>
        <c:axId val="240299919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555855"/>
        <c:crosses val="autoZero"/>
        <c:auto val="1"/>
        <c:lblAlgn val="ctr"/>
        <c:lblOffset val="100"/>
        <c:noMultiLvlLbl val="0"/>
      </c:catAx>
      <c:valAx>
        <c:axId val="300555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2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 Purchases CONVERTIBLE Preference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ConvPartPrefGENERAL!$B$47</c:f>
              <c:strCache>
                <c:ptCount val="1"/>
                <c:pt idx="0">
                  <c:v>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ConvPartPrefGENERAL!$C$43:$I$43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ConvPartPrefGENERAL!$C$47:$I$47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12500000</c:v>
                </c:pt>
                <c:pt idx="5">
                  <c:v>25000000</c:v>
                </c:pt>
                <c:pt idx="6">
                  <c:v>37500000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B-704A-9502-D8317DA5905D}"/>
            </c:ext>
          </c:extLst>
        </c:ser>
        <c:ser>
          <c:idx val="1"/>
          <c:order val="1"/>
          <c:tx>
            <c:strRef>
              <c:f>ConvPartPrefGENERAL!$B$48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ConvPartPrefGENERAL!$C$43:$I$43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ConvPartPrefGENERAL!$C$48:$I$48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5000000</c:v>
                </c:pt>
                <c:pt idx="3">
                  <c:v>10000000</c:v>
                </c:pt>
                <c:pt idx="4">
                  <c:v>37500000</c:v>
                </c:pt>
                <c:pt idx="5">
                  <c:v>75000000</c:v>
                </c:pt>
                <c:pt idx="6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EB-704A-9502-D8317DA59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03359"/>
        <c:axId val="299834847"/>
      </c:barChart>
      <c:catAx>
        <c:axId val="300303359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4847"/>
        <c:crosses val="autoZero"/>
        <c:auto val="1"/>
        <c:lblAlgn val="ctr"/>
        <c:lblOffset val="100"/>
        <c:noMultiLvlLbl val="0"/>
      </c:catAx>
      <c:valAx>
        <c:axId val="29983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Investor Purchases ORDINARY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ConvPartPrefGENERAL!$B$28</c:f>
              <c:strCache>
                <c:ptCount val="1"/>
                <c:pt idx="0">
                  <c:v>Exit 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ConvPartPrefGENERAL!$C$27:$I$27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ConvPartPrefGENERAL!$C$28:$I$28</c:f>
              <c:numCache>
                <c:formatCode>_-* #,##0_-;\-* #,##0_-;_-* "-"??_-;_-@_-</c:formatCode>
                <c:ptCount val="7"/>
                <c:pt idx="0">
                  <c:v>1250000</c:v>
                </c:pt>
                <c:pt idx="1">
                  <c:v>2500000</c:v>
                </c:pt>
                <c:pt idx="2">
                  <c:v>3750000</c:v>
                </c:pt>
                <c:pt idx="3">
                  <c:v>5000000</c:v>
                </c:pt>
                <c:pt idx="4">
                  <c:v>12500000</c:v>
                </c:pt>
                <c:pt idx="5">
                  <c:v>25000000</c:v>
                </c:pt>
                <c:pt idx="6">
                  <c:v>37500000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1-D24C-A591-5B71E870003E}"/>
            </c:ext>
          </c:extLst>
        </c:ser>
        <c:ser>
          <c:idx val="1"/>
          <c:order val="1"/>
          <c:tx>
            <c:strRef>
              <c:f>ConvPartPrefGENERAL!$B$29</c:f>
              <c:strCache>
                <c:ptCount val="1"/>
                <c:pt idx="0">
                  <c:v>Exit 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ConvPartPrefGENERAL!$C$27:$I$27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ConvPartPrefGENERAL!$C$29:$I$29</c:f>
              <c:numCache>
                <c:formatCode>_-* #,##0_-;\-* #,##0_-;_-* "-"??_-;_-@_-</c:formatCode>
                <c:ptCount val="7"/>
                <c:pt idx="0">
                  <c:v>3750000</c:v>
                </c:pt>
                <c:pt idx="1">
                  <c:v>7500000</c:v>
                </c:pt>
                <c:pt idx="2">
                  <c:v>11250000</c:v>
                </c:pt>
                <c:pt idx="3">
                  <c:v>15000000</c:v>
                </c:pt>
                <c:pt idx="4">
                  <c:v>37500000</c:v>
                </c:pt>
                <c:pt idx="5">
                  <c:v>75000000</c:v>
                </c:pt>
                <c:pt idx="6">
                  <c:v>112500000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1-D24C-A591-5B71E870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309663"/>
        <c:axId val="217418367"/>
      </c:barChart>
      <c:catAx>
        <c:axId val="673309663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418367"/>
        <c:crosses val="autoZero"/>
        <c:auto val="1"/>
        <c:lblAlgn val="ctr"/>
        <c:lblOffset val="100"/>
        <c:noMultiLvlLbl val="0"/>
      </c:catAx>
      <c:valAx>
        <c:axId val="21741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0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7030A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Investors Purchase PARTICIPATING Prefered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'ConvPartPrefGENERAL (2)'!$B$66</c:f>
              <c:strCache>
                <c:ptCount val="1"/>
                <c:pt idx="0">
                  <c:v>Total return to investors (pref + conversion)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'ConvPartPrefGENERAL (2)'!$C$63:$I$63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(2)'!$C$66:$I$66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16111111.111111112</c:v>
                </c:pt>
                <c:pt idx="4">
                  <c:v>22777777.777777776</c:v>
                </c:pt>
                <c:pt idx="5">
                  <c:v>33888888.888888888</c:v>
                </c:pt>
                <c:pt idx="6">
                  <c:v>45000000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AA-F344-90DE-761871CAE1DD}"/>
            </c:ext>
          </c:extLst>
        </c:ser>
        <c:ser>
          <c:idx val="1"/>
          <c:order val="1"/>
          <c:tx>
            <c:strRef>
              <c:f>'ConvPartPrefGENERAL (2)'!$B$67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'ConvPartPrefGENERAL (2)'!$C$63:$I$63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(2)'!$C$67:$I$67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3888888.8888888881</c:v>
                </c:pt>
                <c:pt idx="4">
                  <c:v>27222222.222222224</c:v>
                </c:pt>
                <c:pt idx="5">
                  <c:v>66111111.111111112</c:v>
                </c:pt>
                <c:pt idx="6">
                  <c:v>105000000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AA-F344-90DE-761871CAE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299919"/>
        <c:axId val="300555855"/>
      </c:barChart>
      <c:catAx>
        <c:axId val="240299919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555855"/>
        <c:crosses val="autoZero"/>
        <c:auto val="1"/>
        <c:lblAlgn val="ctr"/>
        <c:lblOffset val="100"/>
        <c:noMultiLvlLbl val="0"/>
      </c:catAx>
      <c:valAx>
        <c:axId val="300555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299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>
                <a:solidFill>
                  <a:srgbClr val="7030A0"/>
                </a:solidFill>
              </a:rPr>
              <a:t>Investor Purchases CONVERTIBLE Preference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'ConvPartPrefGENERAL (2)'!$B$47</c:f>
              <c:strCache>
                <c:ptCount val="1"/>
                <c:pt idx="0">
                  <c:v>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'ConvPartPrefGENERAL (2)'!$C$43:$I$43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(2)'!$C$47:$I$47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10000000</c:v>
                </c:pt>
                <c:pt idx="3">
                  <c:v>10000000</c:v>
                </c:pt>
                <c:pt idx="4">
                  <c:v>11111111.11111111</c:v>
                </c:pt>
                <c:pt idx="5">
                  <c:v>22222222.22222222</c:v>
                </c:pt>
                <c:pt idx="6">
                  <c:v>33333333.333333332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5-9645-B51A-770BEDC2B3FC}"/>
            </c:ext>
          </c:extLst>
        </c:ser>
        <c:ser>
          <c:idx val="1"/>
          <c:order val="1"/>
          <c:tx>
            <c:strRef>
              <c:f>'ConvPartPrefGENERAL (2)'!$B$48</c:f>
              <c:strCache>
                <c:ptCount val="1"/>
                <c:pt idx="0">
                  <c:v>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'ConvPartPrefGENERAL (2)'!$C$43:$I$43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(2)'!$C$48:$I$48</c:f>
              <c:numCache>
                <c:formatCode>_-* #,##0_-;\-* #,##0_-;_-*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5000000</c:v>
                </c:pt>
                <c:pt idx="3">
                  <c:v>10000000</c:v>
                </c:pt>
                <c:pt idx="4">
                  <c:v>38888888.888888888</c:v>
                </c:pt>
                <c:pt idx="5">
                  <c:v>77777777.777777776</c:v>
                </c:pt>
                <c:pt idx="6">
                  <c:v>116666666.66666667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35-9645-B51A-770BEDC2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0303359"/>
        <c:axId val="299834847"/>
      </c:barChart>
      <c:catAx>
        <c:axId val="300303359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834847"/>
        <c:crosses val="autoZero"/>
        <c:auto val="1"/>
        <c:lblAlgn val="ctr"/>
        <c:lblOffset val="100"/>
        <c:noMultiLvlLbl val="0"/>
      </c:catAx>
      <c:valAx>
        <c:axId val="299834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03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Investor Purchases ORDINARY Shares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'ConvPartPrefGENERAL (2)'!$B$28</c:f>
              <c:strCache>
                <c:ptCount val="1"/>
                <c:pt idx="0">
                  <c:v>Exit Return to Investors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'ConvPartPrefGENERAL (2)'!$C$27:$I$27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(2)'!$C$28:$I$28</c:f>
              <c:numCache>
                <c:formatCode>_-* #,##0_-;\-* #,##0_-;_-* "-"??_-;_-@_-</c:formatCode>
                <c:ptCount val="7"/>
                <c:pt idx="0">
                  <c:v>1111111.111111111</c:v>
                </c:pt>
                <c:pt idx="1">
                  <c:v>2222222.222222222</c:v>
                </c:pt>
                <c:pt idx="2">
                  <c:v>3333333.333333333</c:v>
                </c:pt>
                <c:pt idx="3">
                  <c:v>4444444.444444444</c:v>
                </c:pt>
                <c:pt idx="4">
                  <c:v>11111111.11111111</c:v>
                </c:pt>
                <c:pt idx="5">
                  <c:v>22222222.22222222</c:v>
                </c:pt>
                <c:pt idx="6">
                  <c:v>33333333.333333332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2B-514E-97A9-B0DF632B30FA}"/>
            </c:ext>
          </c:extLst>
        </c:ser>
        <c:ser>
          <c:idx val="1"/>
          <c:order val="1"/>
          <c:tx>
            <c:strRef>
              <c:f>'ConvPartPrefGENERAL (2)'!$B$29</c:f>
              <c:strCache>
                <c:ptCount val="1"/>
                <c:pt idx="0">
                  <c:v>Exit Return to Founders and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'ConvPartPrefGENERAL (2)'!$C$27:$I$27</c:f>
              <c:numCache>
                <c:formatCode>_-* #,##0_-;\-* #,##0_-;_-* "-"??_-;_-@_-</c:formatCode>
                <c:ptCount val="7"/>
                <c:pt idx="0">
                  <c:v>5000000</c:v>
                </c:pt>
                <c:pt idx="1">
                  <c:v>10000000</c:v>
                </c:pt>
                <c:pt idx="2">
                  <c:v>15000000</c:v>
                </c:pt>
                <c:pt idx="3">
                  <c:v>20000000</c:v>
                </c:pt>
                <c:pt idx="4">
                  <c:v>50000000</c:v>
                </c:pt>
                <c:pt idx="5">
                  <c:v>100000000</c:v>
                </c:pt>
                <c:pt idx="6">
                  <c:v>150000000</c:v>
                </c:pt>
              </c:numCache>
            </c:numRef>
          </c:cat>
          <c:val>
            <c:numRef>
              <c:f>'ConvPartPrefGENERAL (2)'!$C$29:$I$29</c:f>
              <c:numCache>
                <c:formatCode>_-* #,##0_-;\-* #,##0_-;_-* "-"??_-;_-@_-</c:formatCode>
                <c:ptCount val="7"/>
                <c:pt idx="0">
                  <c:v>3888888.888888889</c:v>
                </c:pt>
                <c:pt idx="1">
                  <c:v>7777777.777777778</c:v>
                </c:pt>
                <c:pt idx="2">
                  <c:v>11666666.666666666</c:v>
                </c:pt>
                <c:pt idx="3">
                  <c:v>15555555.555555556</c:v>
                </c:pt>
                <c:pt idx="4">
                  <c:v>38888888.888888888</c:v>
                </c:pt>
                <c:pt idx="5">
                  <c:v>77777777.777777776</c:v>
                </c:pt>
                <c:pt idx="6">
                  <c:v>116666666.66666667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2B-514E-97A9-B0DF632B3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309663"/>
        <c:axId val="217418367"/>
      </c:barChart>
      <c:catAx>
        <c:axId val="673309663"/>
        <c:scaling>
          <c:orientation val="minMax"/>
        </c:scaling>
        <c:delete val="0"/>
        <c:axPos val="l"/>
        <c:numFmt formatCode="[$€-2]\ 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418367"/>
        <c:crosses val="autoZero"/>
        <c:auto val="1"/>
        <c:lblAlgn val="ctr"/>
        <c:lblOffset val="100"/>
        <c:noMultiLvlLbl val="0"/>
      </c:catAx>
      <c:valAx>
        <c:axId val="21741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7030A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3309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7030A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rgbClr val="7030A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50</xdr:row>
      <xdr:rowOff>177800</xdr:rowOff>
    </xdr:from>
    <xdr:to>
      <xdr:col>18</xdr:col>
      <xdr:colOff>50800</xdr:colOff>
      <xdr:row>68</xdr:row>
      <xdr:rowOff>25400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A69A4D7-21FF-1603-7AF1-80F2E6D72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32</xdr:row>
      <xdr:rowOff>12700</xdr:rowOff>
    </xdr:from>
    <xdr:to>
      <xdr:col>17</xdr:col>
      <xdr:colOff>812800</xdr:colOff>
      <xdr:row>48</xdr:row>
      <xdr:rowOff>177800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1DEFE57-F708-9418-4156-ED11E7EF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812800</xdr:colOff>
      <xdr:row>16</xdr:row>
      <xdr:rowOff>25400</xdr:rowOff>
    </xdr:from>
    <xdr:to>
      <xdr:col>18</xdr:col>
      <xdr:colOff>25400</xdr:colOff>
      <xdr:row>30</xdr:row>
      <xdr:rowOff>25400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1D4585-9440-2900-7C29-DD33BE706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800100</xdr:colOff>
      <xdr:row>50</xdr:row>
      <xdr:rowOff>185616</xdr:rowOff>
    </xdr:from>
    <xdr:to>
      <xdr:col>18</xdr:col>
      <xdr:colOff>50800</xdr:colOff>
      <xdr:row>68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CE0ABF-65DB-CC49-91E4-4502DA216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12700</xdr:colOff>
      <xdr:row>32</xdr:row>
      <xdr:rowOff>12700</xdr:rowOff>
    </xdr:from>
    <xdr:to>
      <xdr:col>17</xdr:col>
      <xdr:colOff>812800</xdr:colOff>
      <xdr:row>48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660E7D-83EC-B640-A23C-AB729ED58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812800</xdr:colOff>
      <xdr:row>16</xdr:row>
      <xdr:rowOff>25400</xdr:rowOff>
    </xdr:from>
    <xdr:to>
      <xdr:col>18</xdr:col>
      <xdr:colOff>25400</xdr:colOff>
      <xdr:row>30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BD11B3-324F-B34F-8C21-8A621A2A2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://vcmethod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6D95-5AED-0542-9AF2-D77B33E45D0D}">
  <dimension ref="A1:C14"/>
  <sheetViews>
    <sheetView zoomScale="150" zoomScaleNormal="150" workbookViewId="0">
      <selection activeCell="C17" sqref="C17"/>
    </sheetView>
  </sheetViews>
  <sheetFormatPr defaultColWidth="10.90625" defaultRowHeight="14.5"/>
  <cols>
    <col min="1" max="1" width="58.36328125" customWidth="1"/>
    <col min="2" max="2" width="21.81640625" bestFit="1" customWidth="1"/>
    <col min="3" max="3" width="17.81640625" customWidth="1"/>
  </cols>
  <sheetData>
    <row r="1" spans="1:3" ht="18.5">
      <c r="A1" s="170" t="s">
        <v>128</v>
      </c>
    </row>
    <row r="2" spans="1:3" ht="16" thickBot="1">
      <c r="A2" s="171" t="s">
        <v>80</v>
      </c>
      <c r="B2" s="172" t="s">
        <v>79</v>
      </c>
      <c r="C2" s="166"/>
    </row>
    <row r="3" spans="1:3" ht="31">
      <c r="A3" s="173" t="s">
        <v>129</v>
      </c>
      <c r="B3" s="174" t="s">
        <v>130</v>
      </c>
      <c r="C3" s="175" t="s">
        <v>131</v>
      </c>
    </row>
    <row r="4" spans="1:3" ht="15.5">
      <c r="A4" s="176" t="s">
        <v>132</v>
      </c>
      <c r="B4" s="330" t="s">
        <v>208</v>
      </c>
      <c r="C4" s="331">
        <v>250000</v>
      </c>
    </row>
    <row r="5" spans="1:3" ht="15.5">
      <c r="A5" s="176" t="s">
        <v>133</v>
      </c>
      <c r="B5" s="330" t="s">
        <v>208</v>
      </c>
      <c r="C5" s="331">
        <v>350000</v>
      </c>
    </row>
    <row r="6" spans="1:3" ht="15.5">
      <c r="A6" s="176" t="s">
        <v>134</v>
      </c>
      <c r="B6" s="330" t="s">
        <v>208</v>
      </c>
      <c r="C6" s="331">
        <v>300000</v>
      </c>
    </row>
    <row r="7" spans="1:3" ht="21" customHeight="1">
      <c r="A7" s="176" t="s">
        <v>135</v>
      </c>
      <c r="B7" s="330" t="s">
        <v>208</v>
      </c>
      <c r="C7" s="331">
        <v>100000</v>
      </c>
    </row>
    <row r="8" spans="1:3" ht="31">
      <c r="A8" s="176" t="s">
        <v>136</v>
      </c>
      <c r="B8" s="330" t="s">
        <v>208</v>
      </c>
      <c r="C8" s="331">
        <v>50000</v>
      </c>
    </row>
    <row r="9" spans="1:3" ht="16" thickBot="1">
      <c r="A9" s="452" t="s">
        <v>207</v>
      </c>
      <c r="B9" s="453"/>
      <c r="C9" s="332">
        <f>SUM(C4:C8)</f>
        <v>1050000</v>
      </c>
    </row>
    <row r="10" spans="1:3" ht="15.5">
      <c r="A10" s="166"/>
      <c r="B10" s="167"/>
      <c r="C10" s="166"/>
    </row>
    <row r="11" spans="1:3" ht="15.5">
      <c r="A11" s="168" t="s">
        <v>111</v>
      </c>
      <c r="B11" s="167"/>
      <c r="C11" s="166"/>
    </row>
    <row r="12" spans="1:3" ht="38" customHeight="1">
      <c r="A12" s="450" t="s">
        <v>137</v>
      </c>
      <c r="B12" s="451"/>
      <c r="C12" s="451"/>
    </row>
    <row r="13" spans="1:3" ht="15.5">
      <c r="A13" s="166"/>
      <c r="B13" s="167"/>
      <c r="C13" s="166"/>
    </row>
    <row r="14" spans="1:3" ht="15.5">
      <c r="A14" s="166" t="s">
        <v>125</v>
      </c>
      <c r="B14" s="167"/>
      <c r="C14" s="166"/>
    </row>
  </sheetData>
  <mergeCells count="2">
    <mergeCell ref="A12:C12"/>
    <mergeCell ref="A9:B9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50C9-954E-DA4F-8F77-550A0F2BD9E6}">
  <dimension ref="A2:K68"/>
  <sheetViews>
    <sheetView topLeftCell="A49" zoomScale="130" zoomScaleNormal="130" workbookViewId="0">
      <selection activeCell="J59" sqref="J59"/>
    </sheetView>
  </sheetViews>
  <sheetFormatPr defaultColWidth="10.90625" defaultRowHeight="14.5"/>
  <cols>
    <col min="1" max="1" width="3.1796875" customWidth="1"/>
    <col min="2" max="2" width="34.1796875" customWidth="1"/>
    <col min="3" max="3" width="14.6328125" bestFit="1" customWidth="1"/>
    <col min="4" max="6" width="13.6328125" bestFit="1" customWidth="1"/>
    <col min="7" max="7" width="17" customWidth="1"/>
    <col min="8" max="8" width="14.6328125" bestFit="1" customWidth="1"/>
    <col min="9" max="9" width="14.81640625" bestFit="1" customWidth="1"/>
    <col min="11" max="11" width="14.6328125" bestFit="1" customWidth="1"/>
  </cols>
  <sheetData>
    <row r="2" spans="1:11" ht="26">
      <c r="A2" s="265" t="s">
        <v>199</v>
      </c>
      <c r="B2" s="264"/>
    </row>
    <row r="3" spans="1:11" ht="15" thickBot="1"/>
    <row r="4" spans="1:11" ht="21.5" thickBot="1">
      <c r="B4" s="474" t="s">
        <v>163</v>
      </c>
      <c r="C4" s="475"/>
      <c r="D4" s="475"/>
      <c r="E4" s="475"/>
      <c r="F4" s="475"/>
      <c r="G4" s="475"/>
      <c r="H4" s="475"/>
      <c r="I4" s="476"/>
    </row>
    <row r="5" spans="1:11">
      <c r="B5" s="203" t="s">
        <v>213</v>
      </c>
      <c r="C5" s="60"/>
      <c r="D5" s="60"/>
      <c r="E5" s="60"/>
      <c r="F5" s="60"/>
      <c r="G5" s="204" t="s">
        <v>209</v>
      </c>
      <c r="H5" s="342"/>
      <c r="I5" s="261">
        <v>5000000</v>
      </c>
      <c r="K5" s="205"/>
    </row>
    <row r="6" spans="1:11">
      <c r="B6" s="203" t="s">
        <v>164</v>
      </c>
      <c r="C6" s="60"/>
      <c r="D6" s="60"/>
      <c r="E6" s="60"/>
      <c r="F6" s="60"/>
      <c r="G6" s="206" t="s">
        <v>210</v>
      </c>
      <c r="H6" s="344"/>
      <c r="I6" s="262">
        <v>17500000</v>
      </c>
    </row>
    <row r="7" spans="1:11">
      <c r="B7" s="203" t="s">
        <v>165</v>
      </c>
      <c r="C7" s="60"/>
      <c r="D7" s="60"/>
      <c r="E7" s="60"/>
      <c r="F7" s="60"/>
      <c r="G7" s="207" t="s">
        <v>6</v>
      </c>
      <c r="H7" s="343">
        <f>I7/I13</f>
        <v>0.67777777777777781</v>
      </c>
      <c r="I7" s="263">
        <v>6100000</v>
      </c>
    </row>
    <row r="8" spans="1:11">
      <c r="B8" s="203" t="s">
        <v>166</v>
      </c>
      <c r="C8" s="60"/>
      <c r="D8" s="60"/>
      <c r="E8" s="60"/>
      <c r="F8" s="60"/>
      <c r="G8" s="207" t="s">
        <v>215</v>
      </c>
      <c r="H8" s="361">
        <f>I8/I13</f>
        <v>0.1</v>
      </c>
      <c r="I8" s="346">
        <v>900000</v>
      </c>
    </row>
    <row r="9" spans="1:11">
      <c r="B9" s="203" t="s">
        <v>205</v>
      </c>
      <c r="C9" s="60"/>
      <c r="D9" s="60"/>
      <c r="E9" s="60"/>
      <c r="F9" s="60"/>
      <c r="G9" s="206" t="s">
        <v>216</v>
      </c>
      <c r="H9" s="347">
        <f>I9/I13</f>
        <v>0.77777777777777779</v>
      </c>
      <c r="I9" s="345">
        <f>I7+I8</f>
        <v>7000000</v>
      </c>
      <c r="K9" s="362"/>
    </row>
    <row r="10" spans="1:11">
      <c r="B10" s="209" t="s">
        <v>200</v>
      </c>
      <c r="C10" s="60"/>
      <c r="D10" s="60"/>
      <c r="E10" s="60"/>
      <c r="F10" s="60"/>
      <c r="G10" s="207" t="s">
        <v>211</v>
      </c>
      <c r="H10" s="208"/>
      <c r="I10" s="345">
        <f>I5+I6</f>
        <v>22500000</v>
      </c>
    </row>
    <row r="11" spans="1:11">
      <c r="B11" s="203"/>
      <c r="C11" s="60"/>
      <c r="D11" s="60"/>
      <c r="E11" s="60"/>
      <c r="F11" s="60"/>
      <c r="G11" s="207" t="s">
        <v>212</v>
      </c>
      <c r="H11" s="208"/>
      <c r="I11" s="339">
        <f>I6/I9</f>
        <v>2.5</v>
      </c>
    </row>
    <row r="12" spans="1:11" ht="15" thickBot="1">
      <c r="B12" s="203"/>
      <c r="C12" s="60"/>
      <c r="D12" s="60"/>
      <c r="E12" s="60"/>
      <c r="F12" s="60"/>
      <c r="G12" s="207" t="s">
        <v>167</v>
      </c>
      <c r="H12" s="343">
        <f>I12/I13</f>
        <v>0.22222222222222221</v>
      </c>
      <c r="I12" s="341">
        <f>I5/I11</f>
        <v>2000000</v>
      </c>
    </row>
    <row r="13" spans="1:11" ht="15" thickBot="1">
      <c r="B13" s="212" t="s">
        <v>168</v>
      </c>
      <c r="C13" s="213" t="s">
        <v>169</v>
      </c>
      <c r="D13" s="214" t="s">
        <v>170</v>
      </c>
      <c r="E13" s="60"/>
      <c r="F13" s="60"/>
      <c r="G13" s="210" t="s">
        <v>15</v>
      </c>
      <c r="H13" s="211"/>
      <c r="I13" s="340">
        <f>I7+I8+I12</f>
        <v>9000000</v>
      </c>
    </row>
    <row r="14" spans="1:11">
      <c r="B14" s="216" t="s">
        <v>172</v>
      </c>
      <c r="C14" s="217">
        <f>I12</f>
        <v>2000000</v>
      </c>
      <c r="D14" s="218">
        <f>I5/I10</f>
        <v>0.22222222222222221</v>
      </c>
      <c r="E14" s="60"/>
      <c r="F14" s="60"/>
      <c r="G14" s="60"/>
      <c r="H14" s="60"/>
      <c r="I14" s="59"/>
    </row>
    <row r="15" spans="1:11" ht="15" thickBot="1">
      <c r="B15" s="221" t="s">
        <v>174</v>
      </c>
      <c r="C15" s="222">
        <f>I7</f>
        <v>6100000</v>
      </c>
      <c r="D15" s="223">
        <f>D16-D14</f>
        <v>0.77777777777777779</v>
      </c>
      <c r="E15" s="60"/>
      <c r="F15" s="60"/>
      <c r="G15" s="60"/>
      <c r="H15" s="60"/>
      <c r="I15" s="59"/>
    </row>
    <row r="16" spans="1:11" ht="15" thickBot="1">
      <c r="B16" s="224" t="s">
        <v>175</v>
      </c>
      <c r="C16" s="225">
        <f>SUM(C14:C15)</f>
        <v>8100000</v>
      </c>
      <c r="D16" s="226">
        <v>1</v>
      </c>
      <c r="E16" s="60"/>
      <c r="F16" s="60"/>
      <c r="G16" s="215" t="s">
        <v>171</v>
      </c>
      <c r="H16" s="63"/>
      <c r="I16" s="59"/>
    </row>
    <row r="17" spans="1:9" ht="15" thickBot="1">
      <c r="B17" s="203"/>
      <c r="C17" s="60"/>
      <c r="D17" s="60"/>
      <c r="E17" s="60"/>
      <c r="F17" s="60"/>
      <c r="G17" s="219" t="s">
        <v>173</v>
      </c>
      <c r="H17" s="220"/>
      <c r="I17" s="59"/>
    </row>
    <row r="18" spans="1:9" ht="15" thickBot="1">
      <c r="B18" s="227"/>
      <c r="C18" s="62"/>
      <c r="D18" s="62"/>
      <c r="E18" s="62"/>
      <c r="F18" s="228"/>
      <c r="G18" s="62"/>
      <c r="H18" s="62"/>
      <c r="I18" s="64"/>
    </row>
    <row r="20" spans="1:9" ht="15" thickBot="1"/>
    <row r="21" spans="1:9" ht="21">
      <c r="A21" s="477" t="s">
        <v>176</v>
      </c>
      <c r="B21" s="478"/>
      <c r="C21" s="478"/>
      <c r="D21" s="478"/>
      <c r="E21" s="478"/>
      <c r="F21" s="478"/>
      <c r="G21" s="478"/>
      <c r="H21" s="478"/>
      <c r="I21" s="479"/>
    </row>
    <row r="22" spans="1:9">
      <c r="A22" s="229"/>
      <c r="B22" s="230"/>
      <c r="C22" s="230"/>
      <c r="D22" s="230"/>
      <c r="E22" s="230"/>
      <c r="F22" s="230"/>
      <c r="G22" s="230"/>
      <c r="H22" s="230"/>
      <c r="I22" s="231"/>
    </row>
    <row r="23" spans="1:9">
      <c r="A23" s="229"/>
      <c r="B23" s="232" t="s">
        <v>177</v>
      </c>
      <c r="C23" s="230"/>
      <c r="D23" s="230"/>
      <c r="E23" s="230"/>
      <c r="F23" s="230"/>
      <c r="G23" s="230"/>
      <c r="H23" s="230"/>
      <c r="I23" s="231"/>
    </row>
    <row r="24" spans="1:9">
      <c r="A24" s="229"/>
      <c r="B24" s="232" t="s">
        <v>197</v>
      </c>
      <c r="C24" s="230"/>
      <c r="D24" s="230"/>
      <c r="E24" s="230"/>
      <c r="F24" s="230"/>
      <c r="G24" s="230"/>
      <c r="H24" s="230"/>
      <c r="I24" s="231"/>
    </row>
    <row r="25" spans="1:9" ht="15" thickBot="1">
      <c r="A25" s="229"/>
      <c r="B25" s="230"/>
      <c r="C25" s="230"/>
      <c r="D25" s="230"/>
      <c r="E25" s="230"/>
      <c r="F25" s="230"/>
      <c r="G25" s="230"/>
      <c r="H25" s="230"/>
      <c r="I25" s="231"/>
    </row>
    <row r="26" spans="1:9">
      <c r="A26" s="229"/>
      <c r="B26" s="233"/>
      <c r="C26" s="480" t="s">
        <v>214</v>
      </c>
      <c r="D26" s="472"/>
      <c r="E26" s="472"/>
      <c r="F26" s="472"/>
      <c r="G26" s="472"/>
      <c r="H26" s="472"/>
      <c r="I26" s="473"/>
    </row>
    <row r="27" spans="1:9" ht="15" thickBot="1">
      <c r="A27" s="229"/>
      <c r="B27" s="259" t="s">
        <v>194</v>
      </c>
      <c r="C27" s="234">
        <v>5000000</v>
      </c>
      <c r="D27" s="235">
        <v>10000000</v>
      </c>
      <c r="E27" s="235">
        <v>15000000</v>
      </c>
      <c r="F27" s="235">
        <v>20000000</v>
      </c>
      <c r="G27" s="235">
        <v>50000000</v>
      </c>
      <c r="H27" s="235">
        <v>100000000</v>
      </c>
      <c r="I27" s="236">
        <v>150000000</v>
      </c>
    </row>
    <row r="28" spans="1:9">
      <c r="A28" s="229"/>
      <c r="B28" s="237" t="s">
        <v>178</v>
      </c>
      <c r="C28" s="348">
        <f t="shared" ref="C28:I29" si="0">C$27*$D14</f>
        <v>1111111.111111111</v>
      </c>
      <c r="D28" s="348">
        <f t="shared" si="0"/>
        <v>2222222.222222222</v>
      </c>
      <c r="E28" s="348">
        <f t="shared" si="0"/>
        <v>3333333.333333333</v>
      </c>
      <c r="F28" s="348">
        <f t="shared" si="0"/>
        <v>4444444.444444444</v>
      </c>
      <c r="G28" s="348">
        <f t="shared" si="0"/>
        <v>11111111.11111111</v>
      </c>
      <c r="H28" s="348">
        <f t="shared" si="0"/>
        <v>22222222.22222222</v>
      </c>
      <c r="I28" s="349">
        <f t="shared" si="0"/>
        <v>33333333.333333332</v>
      </c>
    </row>
    <row r="29" spans="1:9" ht="15" thickBot="1">
      <c r="A29" s="229"/>
      <c r="B29" s="238" t="s">
        <v>179</v>
      </c>
      <c r="C29" s="350">
        <f t="shared" si="0"/>
        <v>3888888.888888889</v>
      </c>
      <c r="D29" s="350">
        <f t="shared" si="0"/>
        <v>7777777.777777778</v>
      </c>
      <c r="E29" s="350">
        <f t="shared" si="0"/>
        <v>11666666.666666666</v>
      </c>
      <c r="F29" s="350">
        <f t="shared" si="0"/>
        <v>15555555.555555556</v>
      </c>
      <c r="G29" s="350">
        <f t="shared" si="0"/>
        <v>38888888.888888888</v>
      </c>
      <c r="H29" s="350">
        <f t="shared" si="0"/>
        <v>77777777.777777776</v>
      </c>
      <c r="I29" s="351">
        <f t="shared" si="0"/>
        <v>116666666.66666667</v>
      </c>
    </row>
    <row r="30" spans="1:9" ht="15" thickBot="1">
      <c r="A30" s="239"/>
      <c r="B30" s="240" t="s">
        <v>180</v>
      </c>
      <c r="C30" s="241" t="str">
        <f t="shared" ref="C30:I30" si="1">IF(SUM(C28:C29)=C27,"-","error")</f>
        <v>-</v>
      </c>
      <c r="D30" s="241" t="str">
        <f t="shared" si="1"/>
        <v>-</v>
      </c>
      <c r="E30" s="241" t="str">
        <f t="shared" si="1"/>
        <v>-</v>
      </c>
      <c r="F30" s="241" t="str">
        <f t="shared" si="1"/>
        <v>-</v>
      </c>
      <c r="G30" s="241" t="str">
        <f t="shared" si="1"/>
        <v>-</v>
      </c>
      <c r="H30" s="241" t="str">
        <f t="shared" si="1"/>
        <v>-</v>
      </c>
      <c r="I30" s="242" t="str">
        <f t="shared" si="1"/>
        <v>-</v>
      </c>
    </row>
    <row r="32" spans="1:9" ht="15" thickBot="1"/>
    <row r="33" spans="1:9" ht="21">
      <c r="A33" s="477" t="s">
        <v>195</v>
      </c>
      <c r="B33" s="478"/>
      <c r="C33" s="478"/>
      <c r="D33" s="478"/>
      <c r="E33" s="478"/>
      <c r="F33" s="478"/>
      <c r="G33" s="478"/>
      <c r="H33" s="478"/>
      <c r="I33" s="479"/>
    </row>
    <row r="34" spans="1:9">
      <c r="A34" s="229"/>
      <c r="B34" s="230"/>
      <c r="C34" s="230"/>
      <c r="D34" s="230"/>
      <c r="E34" s="230"/>
      <c r="F34" s="230"/>
      <c r="G34" s="230"/>
      <c r="H34" s="230"/>
      <c r="I34" s="231"/>
    </row>
    <row r="35" spans="1:9">
      <c r="A35" s="229"/>
      <c r="B35" s="232" t="s">
        <v>181</v>
      </c>
      <c r="C35" s="230"/>
      <c r="D35" s="230"/>
      <c r="E35" s="230"/>
      <c r="F35" s="230"/>
      <c r="G35" s="230"/>
      <c r="H35" s="230"/>
      <c r="I35" s="231"/>
    </row>
    <row r="36" spans="1:9">
      <c r="A36" s="229"/>
      <c r="B36" s="243" t="s">
        <v>182</v>
      </c>
      <c r="C36" s="230"/>
      <c r="D36" s="230"/>
      <c r="E36" s="230"/>
      <c r="F36" s="230"/>
      <c r="G36" s="230"/>
      <c r="H36" s="230"/>
      <c r="I36" s="231"/>
    </row>
    <row r="37" spans="1:9">
      <c r="A37" s="229"/>
      <c r="B37" s="230" t="s">
        <v>183</v>
      </c>
      <c r="C37" s="230"/>
      <c r="D37" s="230"/>
      <c r="E37" s="230"/>
      <c r="F37" s="230"/>
      <c r="G37" s="230"/>
      <c r="H37" s="230"/>
      <c r="I37" s="231"/>
    </row>
    <row r="38" spans="1:9">
      <c r="A38" s="229"/>
      <c r="B38" s="230" t="s">
        <v>202</v>
      </c>
      <c r="C38" s="230"/>
      <c r="D38" s="230"/>
      <c r="E38" s="230"/>
      <c r="F38" s="230"/>
      <c r="G38" s="230"/>
      <c r="H38" s="230"/>
      <c r="I38" s="231"/>
    </row>
    <row r="39" spans="1:9">
      <c r="A39" s="229"/>
      <c r="B39" s="230" t="s">
        <v>184</v>
      </c>
      <c r="C39" s="230"/>
      <c r="D39" s="230"/>
      <c r="E39" s="230"/>
      <c r="F39" s="230"/>
      <c r="G39" s="230"/>
      <c r="H39" s="230"/>
      <c r="I39" s="231"/>
    </row>
    <row r="40" spans="1:9" ht="15" thickBot="1">
      <c r="A40" s="229"/>
      <c r="B40" s="230"/>
      <c r="C40" s="230"/>
      <c r="D40" s="230"/>
      <c r="E40" s="230"/>
      <c r="F40" s="230"/>
      <c r="G40" s="230"/>
      <c r="H40" s="230"/>
      <c r="I40" s="231"/>
    </row>
    <row r="41" spans="1:9" ht="15" thickBot="1">
      <c r="A41" s="229"/>
      <c r="B41" s="244" t="s">
        <v>185</v>
      </c>
      <c r="C41" s="266">
        <v>2</v>
      </c>
      <c r="D41" s="230"/>
      <c r="E41" s="230"/>
      <c r="F41" s="230"/>
      <c r="G41" s="230"/>
      <c r="H41" s="230"/>
      <c r="I41" s="231"/>
    </row>
    <row r="42" spans="1:9">
      <c r="A42" s="229"/>
      <c r="B42" s="233"/>
      <c r="C42" s="472" t="s">
        <v>214</v>
      </c>
      <c r="D42" s="472"/>
      <c r="E42" s="472"/>
      <c r="F42" s="472"/>
      <c r="G42" s="472"/>
      <c r="H42" s="472"/>
      <c r="I42" s="473"/>
    </row>
    <row r="43" spans="1:9" ht="15" thickBot="1">
      <c r="A43" s="229"/>
      <c r="B43" s="259" t="s">
        <v>194</v>
      </c>
      <c r="C43" s="234">
        <v>5000000</v>
      </c>
      <c r="D43" s="235">
        <v>10000000</v>
      </c>
      <c r="E43" s="235">
        <v>15000000</v>
      </c>
      <c r="F43" s="235">
        <v>20000000</v>
      </c>
      <c r="G43" s="235">
        <v>50000000</v>
      </c>
      <c r="H43" s="235">
        <v>100000000</v>
      </c>
      <c r="I43" s="236">
        <v>150000000</v>
      </c>
    </row>
    <row r="44" spans="1:9">
      <c r="A44" s="229"/>
      <c r="B44" s="245" t="s">
        <v>198</v>
      </c>
      <c r="C44" s="352">
        <f t="shared" ref="C44:I44" si="2">IF($C$41*$I$5&lt;C43,($C$41*$I$5),C43)</f>
        <v>5000000</v>
      </c>
      <c r="D44" s="352">
        <f t="shared" si="2"/>
        <v>10000000</v>
      </c>
      <c r="E44" s="352">
        <f t="shared" si="2"/>
        <v>10000000</v>
      </c>
      <c r="F44" s="352">
        <f t="shared" si="2"/>
        <v>10000000</v>
      </c>
      <c r="G44" s="352">
        <f t="shared" si="2"/>
        <v>10000000</v>
      </c>
      <c r="H44" s="352">
        <f t="shared" si="2"/>
        <v>10000000</v>
      </c>
      <c r="I44" s="353">
        <f t="shared" si="2"/>
        <v>10000000</v>
      </c>
    </row>
    <row r="45" spans="1:9">
      <c r="A45" s="229"/>
      <c r="B45" s="245" t="s">
        <v>201</v>
      </c>
      <c r="C45" s="352">
        <f t="shared" ref="C45:I45" si="3">$D$14*C43</f>
        <v>1111111.111111111</v>
      </c>
      <c r="D45" s="352">
        <f t="shared" si="3"/>
        <v>2222222.222222222</v>
      </c>
      <c r="E45" s="352">
        <f t="shared" si="3"/>
        <v>3333333.333333333</v>
      </c>
      <c r="F45" s="352">
        <f t="shared" si="3"/>
        <v>4444444.444444444</v>
      </c>
      <c r="G45" s="352">
        <f t="shared" si="3"/>
        <v>11111111.11111111</v>
      </c>
      <c r="H45" s="352">
        <f t="shared" si="3"/>
        <v>22222222.22222222</v>
      </c>
      <c r="I45" s="353">
        <f t="shared" si="3"/>
        <v>33333333.333333332</v>
      </c>
    </row>
    <row r="46" spans="1:9">
      <c r="A46" s="229"/>
      <c r="B46" s="245" t="s">
        <v>186</v>
      </c>
      <c r="C46" s="246" t="str">
        <f>IF(C44&gt;C45,"Liq Pref","Convert")</f>
        <v>Liq Pref</v>
      </c>
      <c r="D46" s="246" t="str">
        <f t="shared" ref="D46:I46" si="4">IF(D44&gt;D45,"Liq Pref","Convert")</f>
        <v>Liq Pref</v>
      </c>
      <c r="E46" s="246" t="str">
        <f t="shared" si="4"/>
        <v>Liq Pref</v>
      </c>
      <c r="F46" s="246" t="str">
        <f t="shared" si="4"/>
        <v>Liq Pref</v>
      </c>
      <c r="G46" s="246" t="str">
        <f t="shared" si="4"/>
        <v>Convert</v>
      </c>
      <c r="H46" s="246" t="str">
        <f t="shared" si="4"/>
        <v>Convert</v>
      </c>
      <c r="I46" s="247" t="str">
        <f t="shared" si="4"/>
        <v>Convert</v>
      </c>
    </row>
    <row r="47" spans="1:9">
      <c r="A47" s="229"/>
      <c r="B47" s="248" t="s">
        <v>187</v>
      </c>
      <c r="C47" s="354">
        <f>MAX(C44:C45)</f>
        <v>5000000</v>
      </c>
      <c r="D47" s="354">
        <f t="shared" ref="D47:I47" si="5">MAX(D44:D45)</f>
        <v>10000000</v>
      </c>
      <c r="E47" s="354">
        <f t="shared" si="5"/>
        <v>10000000</v>
      </c>
      <c r="F47" s="354">
        <f t="shared" si="5"/>
        <v>10000000</v>
      </c>
      <c r="G47" s="354">
        <f t="shared" si="5"/>
        <v>11111111.11111111</v>
      </c>
      <c r="H47" s="354">
        <f t="shared" si="5"/>
        <v>22222222.22222222</v>
      </c>
      <c r="I47" s="355">
        <f t="shared" si="5"/>
        <v>33333333.333333332</v>
      </c>
    </row>
    <row r="48" spans="1:9">
      <c r="A48" s="229"/>
      <c r="B48" s="73" t="s">
        <v>188</v>
      </c>
      <c r="C48" s="356">
        <f>C43-C47</f>
        <v>0</v>
      </c>
      <c r="D48" s="356">
        <f t="shared" ref="D48:I48" si="6">D43-D47</f>
        <v>0</v>
      </c>
      <c r="E48" s="356">
        <f t="shared" si="6"/>
        <v>5000000</v>
      </c>
      <c r="F48" s="356">
        <f t="shared" si="6"/>
        <v>10000000</v>
      </c>
      <c r="G48" s="356">
        <f t="shared" si="6"/>
        <v>38888888.888888888</v>
      </c>
      <c r="H48" s="356">
        <f t="shared" si="6"/>
        <v>77777777.777777776</v>
      </c>
      <c r="I48" s="357">
        <f t="shared" si="6"/>
        <v>116666666.66666667</v>
      </c>
    </row>
    <row r="49" spans="1:9" ht="15" thickBot="1">
      <c r="A49" s="239"/>
      <c r="B49" s="249" t="s">
        <v>180</v>
      </c>
      <c r="C49" s="250" t="str">
        <f t="shared" ref="C49:I49" si="7">IF(SUM(C47:C48)=C43,"-","error")</f>
        <v>-</v>
      </c>
      <c r="D49" s="250" t="str">
        <f t="shared" si="7"/>
        <v>-</v>
      </c>
      <c r="E49" s="250" t="str">
        <f t="shared" si="7"/>
        <v>-</v>
      </c>
      <c r="F49" s="250" t="str">
        <f t="shared" si="7"/>
        <v>-</v>
      </c>
      <c r="G49" s="250" t="str">
        <f t="shared" si="7"/>
        <v>-</v>
      </c>
      <c r="H49" s="250" t="str">
        <f t="shared" si="7"/>
        <v>-</v>
      </c>
      <c r="I49" s="251" t="str">
        <f t="shared" si="7"/>
        <v>-</v>
      </c>
    </row>
    <row r="51" spans="1:9" ht="15" thickBot="1"/>
    <row r="52" spans="1:9" ht="21">
      <c r="A52" s="477" t="s">
        <v>196</v>
      </c>
      <c r="B52" s="478"/>
      <c r="C52" s="478"/>
      <c r="D52" s="478"/>
      <c r="E52" s="478"/>
      <c r="F52" s="478"/>
      <c r="G52" s="478"/>
      <c r="H52" s="478"/>
      <c r="I52" s="479"/>
    </row>
    <row r="53" spans="1:9">
      <c r="A53" s="229"/>
      <c r="B53" s="230"/>
      <c r="C53" s="230"/>
      <c r="D53" s="230"/>
      <c r="E53" s="230"/>
      <c r="F53" s="230"/>
      <c r="G53" s="230"/>
      <c r="H53" s="230"/>
      <c r="I53" s="231"/>
    </row>
    <row r="54" spans="1:9">
      <c r="A54" s="229"/>
      <c r="B54" s="232" t="s">
        <v>189</v>
      </c>
      <c r="C54" s="243"/>
      <c r="D54" s="230"/>
      <c r="E54" s="230"/>
      <c r="F54" s="230"/>
      <c r="G54" s="230"/>
      <c r="H54" s="230"/>
      <c r="I54" s="231"/>
    </row>
    <row r="55" spans="1:9">
      <c r="A55" s="229"/>
      <c r="B55" s="243" t="s">
        <v>190</v>
      </c>
      <c r="C55" s="243"/>
      <c r="D55" s="230"/>
      <c r="E55" s="230"/>
      <c r="F55" s="230"/>
      <c r="G55" s="230"/>
      <c r="H55" s="230"/>
      <c r="I55" s="231"/>
    </row>
    <row r="56" spans="1:9">
      <c r="A56" s="229"/>
      <c r="B56" s="230" t="s">
        <v>183</v>
      </c>
      <c r="C56" s="230"/>
      <c r="D56" s="230"/>
      <c r="E56" s="230"/>
      <c r="F56" s="230"/>
      <c r="G56" s="230"/>
      <c r="H56" s="230"/>
      <c r="I56" s="231"/>
    </row>
    <row r="57" spans="1:9">
      <c r="A57" s="229"/>
      <c r="B57" s="230" t="s">
        <v>203</v>
      </c>
      <c r="C57" s="230"/>
      <c r="D57" s="230"/>
      <c r="E57" s="230"/>
      <c r="F57" s="230"/>
      <c r="G57" s="230"/>
      <c r="H57" s="230"/>
      <c r="I57" s="231"/>
    </row>
    <row r="58" spans="1:9">
      <c r="A58" s="229"/>
      <c r="B58" s="230" t="s">
        <v>204</v>
      </c>
      <c r="C58" s="230"/>
      <c r="D58" s="230"/>
      <c r="E58" s="230"/>
      <c r="F58" s="230"/>
      <c r="G58" s="230"/>
      <c r="H58" s="230"/>
      <c r="I58" s="231"/>
    </row>
    <row r="59" spans="1:9">
      <c r="A59" s="229"/>
      <c r="B59" s="268" t="s">
        <v>191</v>
      </c>
      <c r="C59" s="230"/>
      <c r="D59" s="230"/>
      <c r="E59" s="230"/>
      <c r="F59" s="230"/>
      <c r="G59" s="230"/>
      <c r="H59" s="230"/>
      <c r="I59" s="231"/>
    </row>
    <row r="60" spans="1:9" ht="15" thickBot="1">
      <c r="A60" s="229"/>
      <c r="B60" s="230"/>
      <c r="C60" s="230"/>
      <c r="D60" s="230"/>
      <c r="E60" s="230"/>
      <c r="F60" s="230"/>
      <c r="G60" s="230"/>
      <c r="H60" s="230"/>
      <c r="I60" s="231"/>
    </row>
    <row r="61" spans="1:9" ht="15" thickBot="1">
      <c r="A61" s="229"/>
      <c r="B61" s="252" t="s">
        <v>185</v>
      </c>
      <c r="C61" s="267">
        <v>3</v>
      </c>
      <c r="D61" s="230"/>
      <c r="E61" s="230"/>
      <c r="F61" s="230"/>
      <c r="G61" s="230"/>
      <c r="H61" s="230"/>
      <c r="I61" s="231"/>
    </row>
    <row r="62" spans="1:9">
      <c r="A62" s="229"/>
      <c r="B62" s="253"/>
      <c r="C62" s="471" t="s">
        <v>214</v>
      </c>
      <c r="D62" s="472"/>
      <c r="E62" s="472"/>
      <c r="F62" s="472"/>
      <c r="G62" s="472"/>
      <c r="H62" s="472"/>
      <c r="I62" s="473"/>
    </row>
    <row r="63" spans="1:9" ht="15" thickBot="1">
      <c r="A63" s="229"/>
      <c r="B63" s="260" t="s">
        <v>194</v>
      </c>
      <c r="C63" s="235">
        <v>5000000</v>
      </c>
      <c r="D63" s="235">
        <v>10000000</v>
      </c>
      <c r="E63" s="235">
        <v>15000000</v>
      </c>
      <c r="F63" s="235">
        <v>20000000</v>
      </c>
      <c r="G63" s="235">
        <v>50000000</v>
      </c>
      <c r="H63" s="235">
        <v>100000000</v>
      </c>
      <c r="I63" s="236">
        <v>150000000</v>
      </c>
    </row>
    <row r="64" spans="1:9">
      <c r="A64" s="229"/>
      <c r="B64" s="245" t="s">
        <v>198</v>
      </c>
      <c r="C64" s="358">
        <f t="shared" ref="C64:I64" si="8">IF(($C$61*$I$5)&lt;C63,$C$61*$I$5,C63)</f>
        <v>5000000</v>
      </c>
      <c r="D64" s="352">
        <f t="shared" si="8"/>
        <v>10000000</v>
      </c>
      <c r="E64" s="352">
        <f t="shared" si="8"/>
        <v>15000000</v>
      </c>
      <c r="F64" s="352">
        <f t="shared" si="8"/>
        <v>15000000</v>
      </c>
      <c r="G64" s="352">
        <f t="shared" si="8"/>
        <v>15000000</v>
      </c>
      <c r="H64" s="352">
        <f t="shared" si="8"/>
        <v>15000000</v>
      </c>
      <c r="I64" s="353">
        <f t="shared" si="8"/>
        <v>15000000</v>
      </c>
    </row>
    <row r="65" spans="1:9">
      <c r="A65" s="229"/>
      <c r="B65" s="245" t="s">
        <v>192</v>
      </c>
      <c r="C65" s="358">
        <f t="shared" ref="C65:I65" si="9">(C63-C64)*$D$14</f>
        <v>0</v>
      </c>
      <c r="D65" s="352">
        <f t="shared" si="9"/>
        <v>0</v>
      </c>
      <c r="E65" s="352">
        <f t="shared" si="9"/>
        <v>0</v>
      </c>
      <c r="F65" s="352">
        <f t="shared" si="9"/>
        <v>1111111.111111111</v>
      </c>
      <c r="G65" s="352">
        <f t="shared" si="9"/>
        <v>7777777.7777777771</v>
      </c>
      <c r="H65" s="352">
        <f t="shared" si="9"/>
        <v>18888888.888888888</v>
      </c>
      <c r="I65" s="353">
        <f t="shared" si="9"/>
        <v>30000000</v>
      </c>
    </row>
    <row r="66" spans="1:9">
      <c r="A66" s="229"/>
      <c r="B66" s="254" t="s">
        <v>193</v>
      </c>
      <c r="C66" s="359">
        <f>SUM(C64:C65)</f>
        <v>5000000</v>
      </c>
      <c r="D66" s="354">
        <f t="shared" ref="D66:I66" si="10">SUM(D64:D65)</f>
        <v>10000000</v>
      </c>
      <c r="E66" s="354">
        <f t="shared" si="10"/>
        <v>15000000</v>
      </c>
      <c r="F66" s="354">
        <f t="shared" si="10"/>
        <v>16111111.111111112</v>
      </c>
      <c r="G66" s="354">
        <f t="shared" si="10"/>
        <v>22777777.777777776</v>
      </c>
      <c r="H66" s="354">
        <f t="shared" si="10"/>
        <v>33888888.888888888</v>
      </c>
      <c r="I66" s="355">
        <f t="shared" si="10"/>
        <v>45000000</v>
      </c>
    </row>
    <row r="67" spans="1:9">
      <c r="A67" s="229"/>
      <c r="B67" s="255" t="s">
        <v>188</v>
      </c>
      <c r="C67" s="360">
        <f t="shared" ref="C67:I67" si="11">C63-C66</f>
        <v>0</v>
      </c>
      <c r="D67" s="356">
        <f t="shared" si="11"/>
        <v>0</v>
      </c>
      <c r="E67" s="356">
        <f t="shared" si="11"/>
        <v>0</v>
      </c>
      <c r="F67" s="356">
        <f t="shared" si="11"/>
        <v>3888888.8888888881</v>
      </c>
      <c r="G67" s="356">
        <f t="shared" si="11"/>
        <v>27222222.222222224</v>
      </c>
      <c r="H67" s="356">
        <f t="shared" si="11"/>
        <v>66111111.111111112</v>
      </c>
      <c r="I67" s="357">
        <f t="shared" si="11"/>
        <v>105000000</v>
      </c>
    </row>
    <row r="68" spans="1:9" ht="15" thickBot="1">
      <c r="A68" s="239"/>
      <c r="B68" s="256" t="s">
        <v>180</v>
      </c>
      <c r="C68" s="250" t="str">
        <f t="shared" ref="C68:I68" si="12">IF(SUM(C66:C67)=C63,"-","error")</f>
        <v>-</v>
      </c>
      <c r="D68" s="250" t="str">
        <f t="shared" si="12"/>
        <v>-</v>
      </c>
      <c r="E68" s="250" t="str">
        <f t="shared" si="12"/>
        <v>-</v>
      </c>
      <c r="F68" s="250" t="str">
        <f t="shared" si="12"/>
        <v>-</v>
      </c>
      <c r="G68" s="250" t="str">
        <f t="shared" si="12"/>
        <v>-</v>
      </c>
      <c r="H68" s="250" t="str">
        <f t="shared" si="12"/>
        <v>-</v>
      </c>
      <c r="I68" s="251" t="str">
        <f t="shared" si="12"/>
        <v>-</v>
      </c>
    </row>
  </sheetData>
  <mergeCells count="7">
    <mergeCell ref="C62:I62"/>
    <mergeCell ref="B4:I4"/>
    <mergeCell ref="A21:I21"/>
    <mergeCell ref="C26:I26"/>
    <mergeCell ref="A33:I33"/>
    <mergeCell ref="C42:I42"/>
    <mergeCell ref="A52:I52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304B-F8AD-2345-997D-DFD762B91A78}">
  <dimension ref="A1:H80"/>
  <sheetViews>
    <sheetView zoomScale="130" zoomScaleNormal="130" workbookViewId="0">
      <pane ySplit="1" topLeftCell="A6" activePane="bottomLeft" state="frozen"/>
      <selection pane="bottomLeft" sqref="A1:F32"/>
    </sheetView>
  </sheetViews>
  <sheetFormatPr defaultColWidth="10.90625" defaultRowHeight="14.5"/>
  <cols>
    <col min="1" max="1" width="28.453125" bestFit="1" customWidth="1"/>
    <col min="2" max="2" width="9" customWidth="1"/>
    <col min="3" max="3" width="11.453125" customWidth="1"/>
    <col min="4" max="4" width="14.1796875" customWidth="1"/>
    <col min="5" max="5" width="13.81640625" customWidth="1"/>
    <col min="6" max="6" width="14.81640625" customWidth="1"/>
    <col min="7" max="7" width="16.36328125" customWidth="1"/>
  </cols>
  <sheetData>
    <row r="1" spans="1:8" ht="43.5">
      <c r="A1" s="367" t="s">
        <v>247</v>
      </c>
      <c r="B1" s="368"/>
      <c r="C1" s="369" t="s">
        <v>218</v>
      </c>
      <c r="D1" s="369" t="s">
        <v>219</v>
      </c>
      <c r="E1" s="369" t="s">
        <v>220</v>
      </c>
      <c r="F1" s="370" t="s">
        <v>221</v>
      </c>
      <c r="G1" s="1"/>
      <c r="H1" s="1"/>
    </row>
    <row r="2" spans="1:8">
      <c r="A2" s="381" t="s">
        <v>251</v>
      </c>
      <c r="B2" s="382"/>
      <c r="C2" s="383"/>
      <c r="D2" s="383"/>
      <c r="E2" s="383"/>
      <c r="F2" s="384"/>
      <c r="G2" s="363"/>
    </row>
    <row r="3" spans="1:8" ht="16.5">
      <c r="A3" s="371" t="s">
        <v>222</v>
      </c>
      <c r="B3" s="365" t="s">
        <v>223</v>
      </c>
      <c r="C3" s="372">
        <v>9000000</v>
      </c>
      <c r="D3" s="372">
        <v>9000000</v>
      </c>
      <c r="E3" s="372">
        <v>9000000</v>
      </c>
      <c r="F3" s="373">
        <v>9000000</v>
      </c>
      <c r="G3" s="364"/>
    </row>
    <row r="4" spans="1:8">
      <c r="A4" s="396" t="s">
        <v>284</v>
      </c>
      <c r="B4" s="412">
        <v>0.6</v>
      </c>
      <c r="C4" s="413">
        <f>C3*$B4</f>
        <v>5400000</v>
      </c>
      <c r="D4" s="413">
        <f t="shared" ref="D4:F4" si="0">D3*$B4</f>
        <v>5400000</v>
      </c>
      <c r="E4" s="413">
        <f t="shared" si="0"/>
        <v>5400000</v>
      </c>
      <c r="F4" s="414">
        <f t="shared" si="0"/>
        <v>5400000</v>
      </c>
      <c r="G4" s="364"/>
    </row>
    <row r="5" spans="1:8">
      <c r="A5" s="415" t="s">
        <v>254</v>
      </c>
      <c r="B5" s="416">
        <f>1-B4</f>
        <v>0.4</v>
      </c>
      <c r="C5" s="417">
        <f>C3-C4</f>
        <v>3600000</v>
      </c>
      <c r="D5" s="417">
        <f t="shared" ref="D5:F5" si="1">D3-D4</f>
        <v>3600000</v>
      </c>
      <c r="E5" s="417">
        <f t="shared" si="1"/>
        <v>3600000</v>
      </c>
      <c r="F5" s="418">
        <f t="shared" si="1"/>
        <v>3600000</v>
      </c>
      <c r="G5" s="364"/>
    </row>
    <row r="6" spans="1:8" ht="16.5">
      <c r="A6" s="371" t="s">
        <v>1</v>
      </c>
      <c r="B6" s="365" t="s">
        <v>224</v>
      </c>
      <c r="C6" s="372">
        <v>9000000</v>
      </c>
      <c r="D6" s="374">
        <f>C6</f>
        <v>9000000</v>
      </c>
      <c r="E6" s="374">
        <f>C6</f>
        <v>9000000</v>
      </c>
      <c r="F6" s="375">
        <f>C6</f>
        <v>9000000</v>
      </c>
    </row>
    <row r="7" spans="1:8" ht="16.5">
      <c r="A7" s="371" t="s">
        <v>250</v>
      </c>
      <c r="B7" s="365" t="s">
        <v>225</v>
      </c>
      <c r="C7" s="406">
        <v>4</v>
      </c>
      <c r="D7" s="407">
        <f>D22</f>
        <v>2</v>
      </c>
      <c r="E7" s="407">
        <f>C7*E15</f>
        <v>3.2</v>
      </c>
      <c r="F7" s="408">
        <f>C7*F15</f>
        <v>2.4615384615384617</v>
      </c>
    </row>
    <row r="8" spans="1:8" ht="16.5">
      <c r="A8" s="371" t="s">
        <v>253</v>
      </c>
      <c r="B8" s="365" t="s">
        <v>226</v>
      </c>
      <c r="C8" s="374">
        <f>C6/C7</f>
        <v>2250000</v>
      </c>
      <c r="D8" s="374">
        <f>C8</f>
        <v>2250000</v>
      </c>
      <c r="E8" s="374">
        <f t="shared" ref="E8:F8" si="2">D8</f>
        <v>2250000</v>
      </c>
      <c r="F8" s="375">
        <f t="shared" si="2"/>
        <v>2250000</v>
      </c>
    </row>
    <row r="9" spans="1:8" ht="16.5">
      <c r="A9" s="447" t="s">
        <v>227</v>
      </c>
      <c r="B9" s="365" t="s">
        <v>228</v>
      </c>
      <c r="C9" s="446">
        <f>C6/C7</f>
        <v>2250000</v>
      </c>
      <c r="D9" s="448">
        <f>D6/D7</f>
        <v>4500000</v>
      </c>
      <c r="E9" s="448">
        <f>E6/E7</f>
        <v>2812500</v>
      </c>
      <c r="F9" s="449">
        <f>F6/F7</f>
        <v>3656250</v>
      </c>
    </row>
    <row r="10" spans="1:8">
      <c r="A10" s="371" t="s">
        <v>229</v>
      </c>
      <c r="B10" s="365"/>
      <c r="C10" s="374">
        <f>C9-C8</f>
        <v>0</v>
      </c>
      <c r="D10" s="374">
        <f t="shared" ref="D10:F10" si="3">D9-D8</f>
        <v>2250000</v>
      </c>
      <c r="E10" s="374">
        <f t="shared" si="3"/>
        <v>562500</v>
      </c>
      <c r="F10" s="375">
        <f t="shared" si="3"/>
        <v>1406250</v>
      </c>
    </row>
    <row r="11" spans="1:8" ht="16.5">
      <c r="A11" s="390" t="s">
        <v>15</v>
      </c>
      <c r="B11" s="366" t="s">
        <v>230</v>
      </c>
      <c r="C11" s="388">
        <f>C9+C3</f>
        <v>11250000</v>
      </c>
      <c r="D11" s="388">
        <f>D9+D3</f>
        <v>13500000</v>
      </c>
      <c r="E11" s="388">
        <f>E9+E3</f>
        <v>11812500</v>
      </c>
      <c r="F11" s="389">
        <f>F9+F3</f>
        <v>12656250</v>
      </c>
    </row>
    <row r="12" spans="1:8" ht="16.5">
      <c r="A12" s="371" t="s">
        <v>258</v>
      </c>
      <c r="B12" s="365" t="s">
        <v>231</v>
      </c>
      <c r="C12" s="376">
        <f>C13-C6</f>
        <v>36000000</v>
      </c>
      <c r="D12" s="376">
        <f>D13-D6</f>
        <v>18000000</v>
      </c>
      <c r="E12" s="376">
        <f>E13-E6</f>
        <v>28800000</v>
      </c>
      <c r="F12" s="377">
        <f>F13-F6</f>
        <v>22153846.153846156</v>
      </c>
    </row>
    <row r="13" spans="1:8" ht="16.5">
      <c r="A13" s="371" t="s">
        <v>259</v>
      </c>
      <c r="B13" s="365" t="s">
        <v>232</v>
      </c>
      <c r="C13" s="376">
        <f>C7*C11</f>
        <v>45000000</v>
      </c>
      <c r="D13" s="376">
        <f>D7*D11</f>
        <v>27000000</v>
      </c>
      <c r="E13" s="376">
        <f>E7*E11</f>
        <v>37800000</v>
      </c>
      <c r="F13" s="377">
        <f>F7*F11</f>
        <v>31153846.153846156</v>
      </c>
    </row>
    <row r="14" spans="1:8" ht="16.5">
      <c r="A14" s="371" t="s">
        <v>233</v>
      </c>
      <c r="B14" s="365" t="s">
        <v>234</v>
      </c>
      <c r="C14" s="378"/>
      <c r="D14" s="378"/>
      <c r="E14" s="374">
        <f>C8+C3</f>
        <v>11250000</v>
      </c>
      <c r="F14" s="375">
        <f>C8</f>
        <v>2250000</v>
      </c>
    </row>
    <row r="15" spans="1:8">
      <c r="A15" s="371" t="s">
        <v>235</v>
      </c>
      <c r="B15" s="365" t="s">
        <v>236</v>
      </c>
      <c r="C15" s="378"/>
      <c r="D15" s="378"/>
      <c r="E15" s="379">
        <f>(E14+($C21/$C7))/(E14+($C21/$C22))</f>
        <v>0.8</v>
      </c>
      <c r="F15" s="380">
        <f>(F14+($C21/$C7))/(F14+($C21/$C22))</f>
        <v>0.61538461538461542</v>
      </c>
    </row>
    <row r="16" spans="1:8">
      <c r="A16" s="396" t="s">
        <v>284</v>
      </c>
      <c r="B16" s="365"/>
      <c r="C16" s="397">
        <f>C4/C11</f>
        <v>0.48</v>
      </c>
      <c r="D16" s="397">
        <f t="shared" ref="D16:F16" si="4">D4/D11</f>
        <v>0.4</v>
      </c>
      <c r="E16" s="397">
        <f t="shared" si="4"/>
        <v>0.45714285714285713</v>
      </c>
      <c r="F16" s="400">
        <f t="shared" si="4"/>
        <v>0.42666666666666669</v>
      </c>
    </row>
    <row r="17" spans="1:8">
      <c r="A17" s="396" t="s">
        <v>254</v>
      </c>
      <c r="B17" s="365"/>
      <c r="C17" s="397">
        <f>C5/C11</f>
        <v>0.32</v>
      </c>
      <c r="D17" s="397">
        <f t="shared" ref="D17:F17" si="5">D5/D11</f>
        <v>0.26666666666666666</v>
      </c>
      <c r="E17" s="397">
        <f t="shared" si="5"/>
        <v>0.30476190476190479</v>
      </c>
      <c r="F17" s="400">
        <f t="shared" si="5"/>
        <v>0.28444444444444444</v>
      </c>
    </row>
    <row r="18" spans="1:8">
      <c r="A18" s="439" t="s">
        <v>255</v>
      </c>
      <c r="B18" s="366"/>
      <c r="C18" s="444">
        <f>C9/C11</f>
        <v>0.2</v>
      </c>
      <c r="D18" s="442">
        <f t="shared" ref="D18:F18" si="6">D9/D11</f>
        <v>0.33333333333333331</v>
      </c>
      <c r="E18" s="442">
        <f t="shared" si="6"/>
        <v>0.23809523809523808</v>
      </c>
      <c r="F18" s="443">
        <f t="shared" si="6"/>
        <v>0.28888888888888886</v>
      </c>
    </row>
    <row r="19" spans="1:8">
      <c r="A19" s="391" t="s">
        <v>256</v>
      </c>
      <c r="B19" s="393"/>
      <c r="C19" s="392">
        <f>SUM(C16:C18)</f>
        <v>1</v>
      </c>
      <c r="D19" s="392">
        <f t="shared" ref="D19:F19" si="7">SUM(D16:D18)</f>
        <v>1</v>
      </c>
      <c r="E19" s="392">
        <f t="shared" si="7"/>
        <v>1</v>
      </c>
      <c r="F19" s="401">
        <f t="shared" si="7"/>
        <v>1</v>
      </c>
    </row>
    <row r="20" spans="1:8">
      <c r="A20" s="381" t="s">
        <v>252</v>
      </c>
      <c r="B20" s="385"/>
      <c r="C20" s="386"/>
      <c r="D20" s="386"/>
      <c r="E20" s="386"/>
      <c r="F20" s="387"/>
    </row>
    <row r="21" spans="1:8" ht="16.5">
      <c r="A21" s="371" t="s">
        <v>1</v>
      </c>
      <c r="B21" s="365" t="s">
        <v>237</v>
      </c>
      <c r="C21" s="372">
        <v>15000000</v>
      </c>
      <c r="D21" s="374">
        <f>C21</f>
        <v>15000000</v>
      </c>
      <c r="E21" s="374">
        <f>C21</f>
        <v>15000000</v>
      </c>
      <c r="F21" s="375">
        <f>C21</f>
        <v>15000000</v>
      </c>
      <c r="H21" s="7"/>
    </row>
    <row r="22" spans="1:8" ht="16.5">
      <c r="A22" s="371" t="s">
        <v>12</v>
      </c>
      <c r="B22" s="365" t="s">
        <v>238</v>
      </c>
      <c r="C22" s="409">
        <v>2</v>
      </c>
      <c r="D22" s="410">
        <f>C22</f>
        <v>2</v>
      </c>
      <c r="E22" s="410">
        <f>C22</f>
        <v>2</v>
      </c>
      <c r="F22" s="411">
        <f>C22</f>
        <v>2</v>
      </c>
    </row>
    <row r="23" spans="1:8" ht="16.5">
      <c r="A23" s="371" t="s">
        <v>239</v>
      </c>
      <c r="B23" s="365" t="s">
        <v>240</v>
      </c>
      <c r="C23" s="374">
        <f>C21/C22</f>
        <v>7500000</v>
      </c>
      <c r="D23" s="374">
        <f>D21/D22</f>
        <v>7500000</v>
      </c>
      <c r="E23" s="374">
        <f>E21/E22</f>
        <v>7500000</v>
      </c>
      <c r="F23" s="375">
        <f>F21/F22</f>
        <v>7500000</v>
      </c>
    </row>
    <row r="24" spans="1:8" ht="16.5">
      <c r="A24" s="371" t="s">
        <v>15</v>
      </c>
      <c r="B24" s="365" t="s">
        <v>241</v>
      </c>
      <c r="C24" s="374">
        <f>C23+C11</f>
        <v>18750000</v>
      </c>
      <c r="D24" s="374">
        <f>D23+D11</f>
        <v>21000000</v>
      </c>
      <c r="E24" s="374">
        <f>E23+E11</f>
        <v>19312500</v>
      </c>
      <c r="F24" s="375">
        <f>F23+F11</f>
        <v>20156250</v>
      </c>
    </row>
    <row r="25" spans="1:8" ht="16.5">
      <c r="A25" s="419" t="s">
        <v>11</v>
      </c>
      <c r="B25" s="420" t="s">
        <v>231</v>
      </c>
      <c r="C25" s="421">
        <f>C26-C21</f>
        <v>22500000</v>
      </c>
      <c r="D25" s="421">
        <f>D26-D21</f>
        <v>27000000</v>
      </c>
      <c r="E25" s="421">
        <f>E26-E21</f>
        <v>23625000</v>
      </c>
      <c r="F25" s="422">
        <f>F26-F21</f>
        <v>25312500</v>
      </c>
    </row>
    <row r="26" spans="1:8" ht="16.5">
      <c r="A26" s="371" t="s">
        <v>10</v>
      </c>
      <c r="B26" s="365" t="s">
        <v>232</v>
      </c>
      <c r="C26" s="376">
        <f>C24*C22</f>
        <v>37500000</v>
      </c>
      <c r="D26" s="376">
        <f>D24*D22</f>
        <v>42000000</v>
      </c>
      <c r="E26" s="376">
        <f>E24*E22</f>
        <v>38625000</v>
      </c>
      <c r="F26" s="377">
        <f>F24*F22</f>
        <v>40312500</v>
      </c>
    </row>
    <row r="27" spans="1:8" ht="16.5">
      <c r="A27" s="371" t="s">
        <v>257</v>
      </c>
      <c r="B27" s="365" t="s">
        <v>242</v>
      </c>
      <c r="C27" s="379">
        <f>C3/C24</f>
        <v>0.48</v>
      </c>
      <c r="D27" s="379">
        <f t="shared" ref="D27:F27" si="8">D3/D24</f>
        <v>0.42857142857142855</v>
      </c>
      <c r="E27" s="379">
        <f t="shared" si="8"/>
        <v>0.46601941747572817</v>
      </c>
      <c r="F27" s="380">
        <f t="shared" si="8"/>
        <v>0.44651162790697674</v>
      </c>
    </row>
    <row r="28" spans="1:8">
      <c r="A28" s="395" t="s">
        <v>284</v>
      </c>
      <c r="B28" s="398"/>
      <c r="C28" s="399">
        <f>C27*C16/(C16+C17)</f>
        <v>0.28799999999999998</v>
      </c>
      <c r="D28" s="399">
        <f>D27*D16/(D16+D17)</f>
        <v>0.25714285714285712</v>
      </c>
      <c r="E28" s="399">
        <f t="shared" ref="E28:F28" si="9">E27*E16/(E16+E17)</f>
        <v>0.2796116504854369</v>
      </c>
      <c r="F28" s="402">
        <f t="shared" si="9"/>
        <v>0.26790697674418606</v>
      </c>
    </row>
    <row r="29" spans="1:8">
      <c r="A29" s="395" t="s">
        <v>254</v>
      </c>
      <c r="B29" s="398"/>
      <c r="C29" s="399">
        <f>C27*C17/(C16+C17)</f>
        <v>0.19199999999999998</v>
      </c>
      <c r="D29" s="399">
        <f t="shared" ref="D29:F29" si="10">D27*D17/(D16+D17)</f>
        <v>0.1714285714285714</v>
      </c>
      <c r="E29" s="399">
        <f t="shared" si="10"/>
        <v>0.1864077669902913</v>
      </c>
      <c r="F29" s="402">
        <f t="shared" si="10"/>
        <v>0.1786046511627907</v>
      </c>
    </row>
    <row r="30" spans="1:8" ht="16.5">
      <c r="A30" s="439" t="s">
        <v>243</v>
      </c>
      <c r="B30" s="365" t="s">
        <v>244</v>
      </c>
      <c r="C30" s="445">
        <f>C9/C24</f>
        <v>0.12</v>
      </c>
      <c r="D30" s="440">
        <f t="shared" ref="D30:F30" si="11">D9/D24</f>
        <v>0.21428571428571427</v>
      </c>
      <c r="E30" s="440">
        <f t="shared" si="11"/>
        <v>0.14563106796116504</v>
      </c>
      <c r="F30" s="441">
        <f t="shared" si="11"/>
        <v>0.18139534883720931</v>
      </c>
    </row>
    <row r="31" spans="1:8" ht="16.5">
      <c r="A31" s="371" t="s">
        <v>245</v>
      </c>
      <c r="B31" s="365" t="s">
        <v>246</v>
      </c>
      <c r="C31" s="379">
        <f>C23/C24</f>
        <v>0.4</v>
      </c>
      <c r="D31" s="379">
        <f>D23/D24</f>
        <v>0.35714285714285715</v>
      </c>
      <c r="E31" s="379">
        <f t="shared" ref="E31:F31" si="12">E23/E24</f>
        <v>0.38834951456310679</v>
      </c>
      <c r="F31" s="380">
        <f t="shared" si="12"/>
        <v>0.37209302325581395</v>
      </c>
    </row>
    <row r="32" spans="1:8" ht="15" thickBot="1">
      <c r="A32" s="403" t="s">
        <v>256</v>
      </c>
      <c r="B32" s="404"/>
      <c r="C32" s="394">
        <f>C28+C29+C30+C31</f>
        <v>1</v>
      </c>
      <c r="D32" s="394">
        <f>D28+D29+D30+D31</f>
        <v>1</v>
      </c>
      <c r="E32" s="394">
        <f t="shared" ref="E32:F32" si="13">E28+E29+E30+E31</f>
        <v>1</v>
      </c>
      <c r="F32" s="405">
        <f t="shared" si="13"/>
        <v>1</v>
      </c>
    </row>
    <row r="34" spans="1:5" ht="15" thickBot="1">
      <c r="A34" s="507" t="s">
        <v>248</v>
      </c>
      <c r="B34" s="508"/>
      <c r="C34" s="363" t="s">
        <v>217</v>
      </c>
    </row>
    <row r="35" spans="1:5" ht="15" thickBot="1">
      <c r="A35" s="505" t="s">
        <v>249</v>
      </c>
      <c r="B35" s="506"/>
    </row>
    <row r="36" spans="1:5" ht="15" thickBot="1">
      <c r="E36" s="363" t="s">
        <v>217</v>
      </c>
    </row>
    <row r="37" spans="1:5" ht="21" customHeight="1">
      <c r="A37" s="493" t="s">
        <v>260</v>
      </c>
      <c r="B37" s="494"/>
      <c r="C37" s="494"/>
      <c r="D37" s="495"/>
    </row>
    <row r="38" spans="1:5">
      <c r="A38" s="496" t="s">
        <v>277</v>
      </c>
      <c r="B38" s="497"/>
      <c r="C38" s="497"/>
      <c r="D38" s="498"/>
    </row>
    <row r="39" spans="1:5">
      <c r="A39" s="499"/>
      <c r="B39" s="500"/>
      <c r="C39" s="500"/>
      <c r="D39" s="501"/>
    </row>
    <row r="40" spans="1:5">
      <c r="A40" s="499" t="s">
        <v>261</v>
      </c>
      <c r="B40" s="500"/>
      <c r="C40" s="500"/>
      <c r="D40" s="501"/>
    </row>
    <row r="41" spans="1:5">
      <c r="A41" s="499" t="s">
        <v>262</v>
      </c>
      <c r="B41" s="500"/>
      <c r="C41" s="500"/>
      <c r="D41" s="501"/>
    </row>
    <row r="42" spans="1:5">
      <c r="A42" s="423"/>
      <c r="B42" s="424"/>
      <c r="C42" s="424"/>
      <c r="D42" s="425"/>
    </row>
    <row r="43" spans="1:5">
      <c r="A43" s="426" t="s">
        <v>268</v>
      </c>
      <c r="B43" s="424"/>
      <c r="C43" s="424"/>
      <c r="D43" s="425"/>
    </row>
    <row r="44" spans="1:5">
      <c r="A44" s="427" t="s">
        <v>263</v>
      </c>
      <c r="B44" s="424"/>
      <c r="C44" s="424"/>
      <c r="D44" s="425"/>
    </row>
    <row r="45" spans="1:5">
      <c r="A45" s="423"/>
      <c r="B45" s="424"/>
      <c r="C45" s="424"/>
      <c r="D45" s="425"/>
    </row>
    <row r="46" spans="1:5">
      <c r="A46" s="426" t="s">
        <v>269</v>
      </c>
      <c r="B46" s="424"/>
      <c r="C46" s="424"/>
      <c r="D46" s="425"/>
    </row>
    <row r="47" spans="1:5">
      <c r="A47" s="427" t="s">
        <v>264</v>
      </c>
      <c r="B47" s="424"/>
      <c r="C47" s="424"/>
      <c r="D47" s="425"/>
    </row>
    <row r="48" spans="1:5">
      <c r="A48" s="423"/>
      <c r="B48" s="424"/>
      <c r="C48" s="424"/>
      <c r="D48" s="425"/>
    </row>
    <row r="49" spans="1:4">
      <c r="A49" s="428">
        <v>15000000</v>
      </c>
      <c r="B49" s="424"/>
      <c r="C49" s="424"/>
      <c r="D49" s="425"/>
    </row>
    <row r="50" spans="1:4">
      <c r="A50" s="429">
        <v>18750000</v>
      </c>
      <c r="B50" s="424"/>
      <c r="C50" s="424"/>
      <c r="D50" s="425"/>
    </row>
    <row r="51" spans="1:4">
      <c r="A51" s="423"/>
      <c r="B51" s="424"/>
      <c r="C51" s="424"/>
      <c r="D51" s="425"/>
    </row>
    <row r="52" spans="1:4">
      <c r="A52" s="430" t="s">
        <v>270</v>
      </c>
      <c r="B52" s="424"/>
      <c r="C52" s="424"/>
      <c r="D52" s="425"/>
    </row>
    <row r="53" spans="1:4">
      <c r="A53" s="431"/>
      <c r="B53" s="424"/>
      <c r="C53" s="424"/>
      <c r="D53" s="425"/>
    </row>
    <row r="54" spans="1:4">
      <c r="A54" s="432" t="s">
        <v>267</v>
      </c>
      <c r="B54" s="424"/>
      <c r="C54" s="424"/>
      <c r="D54" s="425"/>
    </row>
    <row r="55" spans="1:4">
      <c r="A55" s="502" t="s">
        <v>266</v>
      </c>
      <c r="B55" s="503"/>
      <c r="C55" s="503"/>
      <c r="D55" s="504"/>
    </row>
    <row r="56" spans="1:4" ht="15" thickBot="1">
      <c r="A56" s="433" t="s">
        <v>265</v>
      </c>
      <c r="B56" s="434"/>
      <c r="C56" s="434"/>
      <c r="D56" s="435"/>
    </row>
    <row r="57" spans="1:4" ht="15" thickBot="1"/>
    <row r="58" spans="1:4">
      <c r="A58" s="493" t="s">
        <v>271</v>
      </c>
      <c r="B58" s="494"/>
      <c r="C58" s="494"/>
      <c r="D58" s="495"/>
    </row>
    <row r="59" spans="1:4">
      <c r="A59" s="496" t="s">
        <v>277</v>
      </c>
      <c r="B59" s="497"/>
      <c r="C59" s="497"/>
      <c r="D59" s="498"/>
    </row>
    <row r="60" spans="1:4">
      <c r="A60" s="436"/>
      <c r="B60" s="424"/>
      <c r="C60" s="424"/>
      <c r="D60" s="425"/>
    </row>
    <row r="61" spans="1:4">
      <c r="A61" s="499" t="s">
        <v>272</v>
      </c>
      <c r="B61" s="500"/>
      <c r="C61" s="500"/>
      <c r="D61" s="501"/>
    </row>
    <row r="62" spans="1:4">
      <c r="A62" s="423" t="s">
        <v>273</v>
      </c>
      <c r="B62" s="424"/>
      <c r="C62" s="424"/>
      <c r="D62" s="425"/>
    </row>
    <row r="63" spans="1:4">
      <c r="A63" s="423"/>
      <c r="B63" s="424"/>
      <c r="C63" s="424"/>
      <c r="D63" s="425"/>
    </row>
    <row r="64" spans="1:4">
      <c r="A64" s="426" t="s">
        <v>278</v>
      </c>
      <c r="B64" s="424"/>
      <c r="C64" s="424"/>
      <c r="D64" s="425"/>
    </row>
    <row r="65" spans="1:4">
      <c r="A65" s="427" t="s">
        <v>274</v>
      </c>
      <c r="B65" s="424"/>
      <c r="C65" s="424"/>
      <c r="D65" s="425"/>
    </row>
    <row r="66" spans="1:4">
      <c r="A66" s="423"/>
      <c r="B66" s="424"/>
      <c r="C66" s="424"/>
      <c r="D66" s="425"/>
    </row>
    <row r="67" spans="1:4">
      <c r="A67" s="426" t="s">
        <v>279</v>
      </c>
      <c r="B67" s="424"/>
      <c r="C67" s="424"/>
      <c r="D67" s="425"/>
    </row>
    <row r="68" spans="1:4">
      <c r="A68" s="427" t="s">
        <v>275</v>
      </c>
      <c r="B68" s="424"/>
      <c r="C68" s="424"/>
      <c r="D68" s="425"/>
    </row>
    <row r="69" spans="1:4">
      <c r="A69" s="423"/>
      <c r="B69" s="424"/>
      <c r="C69" s="424"/>
      <c r="D69" s="425"/>
    </row>
    <row r="70" spans="1:4">
      <c r="A70" s="437">
        <v>6000000</v>
      </c>
      <c r="B70" s="424"/>
      <c r="C70" s="424"/>
      <c r="D70" s="425"/>
    </row>
    <row r="71" spans="1:4">
      <c r="A71" s="438">
        <v>9750000</v>
      </c>
      <c r="B71" s="424"/>
      <c r="C71" s="424"/>
      <c r="D71" s="425"/>
    </row>
    <row r="72" spans="1:4">
      <c r="A72" s="423"/>
      <c r="B72" s="424"/>
      <c r="C72" s="424"/>
      <c r="D72" s="425"/>
    </row>
    <row r="73" spans="1:4">
      <c r="A73" s="430" t="s">
        <v>276</v>
      </c>
      <c r="B73" s="424"/>
      <c r="C73" s="424"/>
      <c r="D73" s="425"/>
    </row>
    <row r="74" spans="1:4">
      <c r="A74" s="423"/>
      <c r="B74" s="424"/>
      <c r="C74" s="424"/>
      <c r="D74" s="425"/>
    </row>
    <row r="75" spans="1:4">
      <c r="A75" s="432" t="s">
        <v>280</v>
      </c>
      <c r="B75" s="424"/>
      <c r="C75" s="424"/>
      <c r="D75" s="425"/>
    </row>
    <row r="76" spans="1:4">
      <c r="A76" s="481" t="s">
        <v>281</v>
      </c>
      <c r="B76" s="482"/>
      <c r="C76" s="482"/>
      <c r="D76" s="483"/>
    </row>
    <row r="77" spans="1:4" ht="15" thickBot="1">
      <c r="A77" s="484" t="s">
        <v>265</v>
      </c>
      <c r="B77" s="485"/>
      <c r="C77" s="485"/>
      <c r="D77" s="486"/>
    </row>
    <row r="78" spans="1:4" ht="15" thickBot="1"/>
    <row r="79" spans="1:4">
      <c r="A79" s="490" t="s">
        <v>282</v>
      </c>
      <c r="B79" s="491"/>
      <c r="C79" s="492"/>
    </row>
    <row r="80" spans="1:4" ht="15" thickBot="1">
      <c r="A80" s="487" t="s">
        <v>283</v>
      </c>
      <c r="B80" s="488"/>
      <c r="C80" s="489"/>
    </row>
  </sheetData>
  <mergeCells count="15">
    <mergeCell ref="A35:B35"/>
    <mergeCell ref="A34:B34"/>
    <mergeCell ref="A58:D58"/>
    <mergeCell ref="A59:D59"/>
    <mergeCell ref="A61:D61"/>
    <mergeCell ref="A76:D76"/>
    <mergeCell ref="A77:D77"/>
    <mergeCell ref="A80:C80"/>
    <mergeCell ref="A79:C79"/>
    <mergeCell ref="A37:D37"/>
    <mergeCell ref="A38:D38"/>
    <mergeCell ref="A39:D39"/>
    <mergeCell ref="A40:D40"/>
    <mergeCell ref="A41:D41"/>
    <mergeCell ref="A55:D55"/>
  </mergeCells>
  <conditionalFormatting sqref="D9:F9">
    <cfRule type="cellIs" dxfId="2" priority="1" operator="greaterThan">
      <formula>$C$9</formula>
    </cfRule>
  </conditionalFormatting>
  <conditionalFormatting sqref="D18:F18">
    <cfRule type="cellIs" dxfId="1" priority="3" operator="greaterThan">
      <formula>$C$18</formula>
    </cfRule>
  </conditionalFormatting>
  <conditionalFormatting sqref="D30:F30">
    <cfRule type="cellIs" dxfId="0" priority="4" operator="greaterThan">
      <formula>$C$30</formula>
    </cfRule>
  </conditionalFormatting>
  <pageMargins left="0.7" right="0.7" top="0.75" bottom="0.75" header="0.3" footer="0.3"/>
  <ignoredErrors>
    <ignoredError sqref="D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D98EC-4BCA-0548-8774-A13378ACF8CB}">
  <dimension ref="A1:F31"/>
  <sheetViews>
    <sheetView zoomScale="140" zoomScaleNormal="140" workbookViewId="0">
      <selection activeCell="A4" sqref="A4:E26"/>
    </sheetView>
  </sheetViews>
  <sheetFormatPr defaultColWidth="10.81640625" defaultRowHeight="15.5"/>
  <cols>
    <col min="1" max="1" width="43.453125" style="169" customWidth="1"/>
    <col min="2" max="2" width="14.6328125" style="169" customWidth="1"/>
    <col min="3" max="3" width="15.36328125" style="169" bestFit="1" customWidth="1"/>
    <col min="4" max="4" width="14.81640625" style="169" customWidth="1"/>
    <col min="5" max="5" width="11.453125" style="169" bestFit="1" customWidth="1"/>
    <col min="6" max="16384" width="10.81640625" style="169"/>
  </cols>
  <sheetData>
    <row r="1" spans="1:6" ht="18.5">
      <c r="A1" s="170" t="s">
        <v>138</v>
      </c>
      <c r="B1" s="166"/>
      <c r="C1" s="166"/>
      <c r="F1" s="166"/>
    </row>
    <row r="2" spans="1:6">
      <c r="A2" s="171" t="s">
        <v>80</v>
      </c>
      <c r="B2" s="177" t="s">
        <v>79</v>
      </c>
      <c r="C2" s="166"/>
      <c r="D2" s="166"/>
      <c r="E2" s="166"/>
      <c r="F2" s="166"/>
    </row>
    <row r="3" spans="1:6">
      <c r="A3" s="178"/>
      <c r="B3" s="179"/>
      <c r="C3" s="166"/>
      <c r="D3" s="166"/>
      <c r="E3" s="166"/>
      <c r="F3" s="166"/>
    </row>
    <row r="4" spans="1:6" ht="16" thickBot="1">
      <c r="A4" s="21" t="s">
        <v>139</v>
      </c>
      <c r="B4" s="166"/>
      <c r="C4" s="166"/>
      <c r="D4" s="166"/>
      <c r="E4" s="166"/>
      <c r="F4" s="166"/>
    </row>
    <row r="5" spans="1:6">
      <c r="A5" s="181" t="s">
        <v>140</v>
      </c>
      <c r="B5" s="182" t="s">
        <v>141</v>
      </c>
      <c r="D5" s="166"/>
      <c r="E5" s="166"/>
      <c r="F5" s="166"/>
    </row>
    <row r="6" spans="1:6">
      <c r="A6" s="183" t="s">
        <v>142</v>
      </c>
      <c r="B6" s="334">
        <v>2100000</v>
      </c>
      <c r="D6" s="166"/>
      <c r="E6" s="166"/>
      <c r="F6" s="166"/>
    </row>
    <row r="7" spans="1:6">
      <c r="A7" s="183" t="s">
        <v>143</v>
      </c>
      <c r="B7" s="334">
        <v>1800000</v>
      </c>
      <c r="D7" s="166"/>
      <c r="E7" s="166"/>
      <c r="F7" s="166"/>
    </row>
    <row r="8" spans="1:6">
      <c r="A8" s="183" t="s">
        <v>144</v>
      </c>
      <c r="B8" s="334">
        <v>3000000</v>
      </c>
      <c r="D8" s="166"/>
      <c r="E8" s="166"/>
      <c r="F8" s="166"/>
    </row>
    <row r="9" spans="1:6" ht="16" thickBot="1">
      <c r="A9" s="184" t="s">
        <v>145</v>
      </c>
      <c r="B9" s="335">
        <v>4000000</v>
      </c>
      <c r="D9" s="166"/>
      <c r="E9" s="166"/>
      <c r="F9" s="166"/>
    </row>
    <row r="10" spans="1:6">
      <c r="A10" s="166"/>
      <c r="B10" s="166"/>
      <c r="C10" s="180"/>
      <c r="D10" s="166"/>
      <c r="E10" s="166"/>
      <c r="F10" s="166"/>
    </row>
    <row r="11" spans="1:6" ht="16" thickBot="1">
      <c r="A11" s="21" t="s">
        <v>146</v>
      </c>
      <c r="B11" s="166"/>
      <c r="C11" s="166"/>
      <c r="D11" s="166"/>
      <c r="E11" s="166"/>
      <c r="F11" s="166"/>
    </row>
    <row r="12" spans="1:6" ht="16" thickBot="1">
      <c r="A12" s="196" t="s">
        <v>147</v>
      </c>
      <c r="B12" s="197"/>
      <c r="C12" s="336">
        <f>SUM(B6:B9)/COUNT(B6:B9)</f>
        <v>2725000</v>
      </c>
      <c r="D12" s="166"/>
      <c r="E12" s="166"/>
      <c r="F12" s="166"/>
    </row>
    <row r="13" spans="1:6">
      <c r="A13" s="166"/>
      <c r="B13" s="166"/>
      <c r="C13" s="166"/>
      <c r="D13" s="166"/>
      <c r="E13" s="166"/>
      <c r="F13" s="166"/>
    </row>
    <row r="14" spans="1:6">
      <c r="A14" s="21" t="s">
        <v>148</v>
      </c>
      <c r="B14" s="166"/>
      <c r="C14" s="166"/>
      <c r="D14" s="166"/>
      <c r="E14" s="166"/>
      <c r="F14" s="166"/>
    </row>
    <row r="15" spans="1:6" ht="16" thickBot="1">
      <c r="A15" s="166"/>
      <c r="B15" s="166"/>
      <c r="C15" s="166"/>
      <c r="D15" s="166"/>
      <c r="E15" s="166"/>
      <c r="F15" s="166"/>
    </row>
    <row r="16" spans="1:6" ht="31">
      <c r="A16" s="189" t="s">
        <v>129</v>
      </c>
      <c r="B16" s="190" t="s">
        <v>149</v>
      </c>
      <c r="C16" s="190" t="s">
        <v>150</v>
      </c>
      <c r="D16" s="191" t="s">
        <v>151</v>
      </c>
      <c r="F16" s="166"/>
    </row>
    <row r="17" spans="1:6">
      <c r="A17" s="176" t="s">
        <v>152</v>
      </c>
      <c r="B17" s="198">
        <v>0.3</v>
      </c>
      <c r="C17" s="185">
        <v>1.5</v>
      </c>
      <c r="D17" s="199">
        <f t="shared" ref="D17:D23" si="0">B17*C17</f>
        <v>0.44999999999999996</v>
      </c>
      <c r="F17" s="166"/>
    </row>
    <row r="18" spans="1:6">
      <c r="A18" s="176" t="s">
        <v>153</v>
      </c>
      <c r="B18" s="198">
        <v>0.25</v>
      </c>
      <c r="C18" s="185">
        <v>1.25</v>
      </c>
      <c r="D18" s="199">
        <f t="shared" si="0"/>
        <v>0.3125</v>
      </c>
      <c r="F18" s="166"/>
    </row>
    <row r="19" spans="1:6">
      <c r="A19" s="176" t="s">
        <v>154</v>
      </c>
      <c r="B19" s="198">
        <v>0.15</v>
      </c>
      <c r="C19" s="185">
        <v>1.25</v>
      </c>
      <c r="D19" s="199">
        <f t="shared" si="0"/>
        <v>0.1875</v>
      </c>
      <c r="F19" s="166"/>
    </row>
    <row r="20" spans="1:6">
      <c r="A20" s="176" t="s">
        <v>155</v>
      </c>
      <c r="B20" s="198">
        <v>0.1</v>
      </c>
      <c r="C20" s="185">
        <v>0.75</v>
      </c>
      <c r="D20" s="199">
        <f t="shared" si="0"/>
        <v>7.5000000000000011E-2</v>
      </c>
      <c r="F20" s="166"/>
    </row>
    <row r="21" spans="1:6">
      <c r="A21" s="176" t="s">
        <v>156</v>
      </c>
      <c r="B21" s="198">
        <v>0.1</v>
      </c>
      <c r="C21" s="185">
        <v>1</v>
      </c>
      <c r="D21" s="199">
        <f t="shared" si="0"/>
        <v>0.1</v>
      </c>
      <c r="F21" s="166"/>
    </row>
    <row r="22" spans="1:6">
      <c r="A22" s="176" t="s">
        <v>157</v>
      </c>
      <c r="B22" s="198">
        <v>0.05</v>
      </c>
      <c r="C22" s="185">
        <v>1</v>
      </c>
      <c r="D22" s="199">
        <f t="shared" si="0"/>
        <v>0.05</v>
      </c>
      <c r="F22" s="166"/>
    </row>
    <row r="23" spans="1:6" ht="16" thickBot="1">
      <c r="A23" s="176" t="s">
        <v>158</v>
      </c>
      <c r="B23" s="198">
        <v>0.05</v>
      </c>
      <c r="C23" s="185">
        <v>1</v>
      </c>
      <c r="D23" s="200">
        <f t="shared" si="0"/>
        <v>0.05</v>
      </c>
      <c r="F23" s="166"/>
    </row>
    <row r="24" spans="1:6">
      <c r="A24" s="192" t="s">
        <v>160</v>
      </c>
      <c r="B24" s="188"/>
      <c r="C24" s="186"/>
      <c r="D24" s="187">
        <f>SUM(D17:D23)</f>
        <v>1.2250000000000001</v>
      </c>
      <c r="F24" s="166"/>
    </row>
    <row r="25" spans="1:6">
      <c r="A25" s="192" t="s">
        <v>161</v>
      </c>
      <c r="B25" s="188"/>
      <c r="C25" s="186"/>
      <c r="D25" s="337">
        <f>C12</f>
        <v>2725000</v>
      </c>
      <c r="F25" s="166"/>
    </row>
    <row r="26" spans="1:6" ht="16" thickBot="1">
      <c r="A26" s="193" t="s">
        <v>162</v>
      </c>
      <c r="B26" s="194"/>
      <c r="C26" s="195"/>
      <c r="D26" s="338">
        <f>C12*D24</f>
        <v>3338125.0000000005</v>
      </c>
      <c r="F26" s="166"/>
    </row>
    <row r="27" spans="1:6">
      <c r="A27" s="166"/>
      <c r="F27" s="166"/>
    </row>
    <row r="28" spans="1:6">
      <c r="A28" s="202" t="s">
        <v>73</v>
      </c>
      <c r="B28" s="166"/>
      <c r="C28" s="166"/>
      <c r="D28" s="166"/>
      <c r="E28" s="166"/>
      <c r="F28" s="166"/>
    </row>
    <row r="29" spans="1:6" ht="143" customHeight="1">
      <c r="A29" s="333" t="s">
        <v>159</v>
      </c>
      <c r="B29" s="201"/>
      <c r="C29" s="201"/>
      <c r="D29" s="201"/>
      <c r="F29" s="166"/>
    </row>
    <row r="30" spans="1:6">
      <c r="A30" s="166"/>
      <c r="B30" s="166"/>
      <c r="C30" s="166"/>
      <c r="D30" s="166"/>
      <c r="E30" s="166"/>
      <c r="F30" s="166"/>
    </row>
    <row r="31" spans="1:6">
      <c r="A31" s="166" t="s">
        <v>125</v>
      </c>
      <c r="B31" s="166"/>
      <c r="C31" s="166"/>
      <c r="D31" s="166"/>
      <c r="E31" s="166"/>
      <c r="F31" s="166"/>
    </row>
  </sheetData>
  <pageMargins left="0.7" right="0.7" top="0.75" bottom="0.75" header="0.3" footer="0.3"/>
  <pageSetup paperSize="9" orientation="portrait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F0728-0DD9-4FEF-802E-AE315BA4B765}">
  <sheetPr>
    <pageSetUpPr fitToPage="1"/>
  </sheetPr>
  <dimension ref="A1:M31"/>
  <sheetViews>
    <sheetView zoomScale="111" zoomScaleNormal="120" workbookViewId="0">
      <selection sqref="A1:M31"/>
    </sheetView>
  </sheetViews>
  <sheetFormatPr defaultColWidth="8.81640625" defaultRowHeight="14.5"/>
  <cols>
    <col min="1" max="1" width="46" bestFit="1" customWidth="1"/>
    <col min="2" max="3" width="17.453125" customWidth="1"/>
    <col min="4" max="4" width="17.1796875" customWidth="1"/>
    <col min="5" max="5" width="16.1796875" customWidth="1"/>
    <col min="6" max="6" width="15.1796875" bestFit="1" customWidth="1"/>
    <col min="7" max="7" width="4.81640625" customWidth="1"/>
    <col min="8" max="8" width="8.81640625" bestFit="1" customWidth="1"/>
    <col min="9" max="9" width="8" customWidth="1"/>
    <col min="10" max="10" width="9.1796875" bestFit="1" customWidth="1"/>
    <col min="11" max="11" width="9.1796875" customWidth="1"/>
    <col min="12" max="13" width="11.81640625" customWidth="1"/>
  </cols>
  <sheetData>
    <row r="1" spans="1:13" ht="19" thickBot="1">
      <c r="A1" s="85" t="s">
        <v>58</v>
      </c>
      <c r="L1" s="454" t="s">
        <v>126</v>
      </c>
      <c r="M1" s="455"/>
    </row>
    <row r="2" spans="1:13">
      <c r="A2" s="258" t="s">
        <v>28</v>
      </c>
      <c r="B2" s="13" t="s">
        <v>29</v>
      </c>
      <c r="C2" s="13" t="s">
        <v>30</v>
      </c>
      <c r="D2" s="13" t="s">
        <v>31</v>
      </c>
      <c r="E2" s="13" t="s">
        <v>32</v>
      </c>
      <c r="F2" s="14" t="s">
        <v>33</v>
      </c>
      <c r="H2" s="15" t="s">
        <v>41</v>
      </c>
      <c r="I2" s="16" t="s">
        <v>42</v>
      </c>
      <c r="J2" s="16" t="s">
        <v>39</v>
      </c>
      <c r="K2" s="16" t="s">
        <v>40</v>
      </c>
      <c r="L2" s="164" t="s">
        <v>39</v>
      </c>
      <c r="M2" s="165" t="s">
        <v>40</v>
      </c>
    </row>
    <row r="3" spans="1:13">
      <c r="A3" s="257" t="s">
        <v>34</v>
      </c>
      <c r="B3" s="279">
        <v>800000000</v>
      </c>
      <c r="C3" s="279">
        <v>70000000000</v>
      </c>
      <c r="D3" s="279">
        <v>350000000</v>
      </c>
      <c r="E3" s="279">
        <v>200000000</v>
      </c>
      <c r="F3" s="280">
        <v>200000000</v>
      </c>
      <c r="H3" s="81"/>
      <c r="I3" s="82"/>
      <c r="J3" s="82"/>
      <c r="K3" s="82"/>
      <c r="L3" s="82"/>
      <c r="M3" s="83"/>
    </row>
    <row r="4" spans="1:13" ht="15.5">
      <c r="A4" s="73" t="s">
        <v>63</v>
      </c>
      <c r="B4" s="279">
        <v>2000000000</v>
      </c>
      <c r="C4" s="279">
        <v>100000000000</v>
      </c>
      <c r="D4" s="279">
        <v>700000000</v>
      </c>
      <c r="E4" s="279">
        <v>450000000</v>
      </c>
      <c r="F4" s="280">
        <v>800000000</v>
      </c>
      <c r="H4" s="81"/>
      <c r="I4" s="82"/>
      <c r="J4" s="82"/>
      <c r="K4" s="82"/>
      <c r="L4" s="82"/>
      <c r="M4" s="83"/>
    </row>
    <row r="5" spans="1:13">
      <c r="A5" s="118" t="s">
        <v>36</v>
      </c>
      <c r="B5" s="75">
        <f>B4/B3</f>
        <v>2.5</v>
      </c>
      <c r="C5" s="75">
        <f>C4/C3</f>
        <v>1.4285714285714286</v>
      </c>
      <c r="D5" s="75">
        <f>D4/D3</f>
        <v>2</v>
      </c>
      <c r="E5" s="75">
        <f>E4/E3</f>
        <v>2.25</v>
      </c>
      <c r="F5" s="76">
        <f>F4/F3</f>
        <v>4</v>
      </c>
      <c r="H5" s="17">
        <f>MAX(B5:F5)</f>
        <v>4</v>
      </c>
      <c r="I5" s="11">
        <f>MIN(B5:F5)</f>
        <v>1.4285714285714286</v>
      </c>
      <c r="J5" s="10">
        <f>AVERAGE(B5:F5)</f>
        <v>2.4357142857142859</v>
      </c>
      <c r="K5" s="12">
        <f>MEDIAN(B5:F5)</f>
        <v>2.25</v>
      </c>
      <c r="L5" s="75"/>
      <c r="M5" s="76"/>
    </row>
    <row r="6" spans="1:13">
      <c r="A6" s="73"/>
      <c r="B6" s="77"/>
      <c r="C6" s="77"/>
      <c r="D6" s="77"/>
      <c r="E6" s="77"/>
      <c r="F6" s="78"/>
      <c r="H6" s="81"/>
      <c r="I6" s="82"/>
      <c r="J6" s="82"/>
      <c r="K6" s="82"/>
      <c r="L6" s="82"/>
      <c r="M6" s="83"/>
    </row>
    <row r="7" spans="1:13">
      <c r="A7" s="257" t="s">
        <v>35</v>
      </c>
      <c r="B7" s="279">
        <v>900000000</v>
      </c>
      <c r="C7" s="279">
        <v>50000000000</v>
      </c>
      <c r="D7" s="279">
        <v>100000000</v>
      </c>
      <c r="E7" s="279">
        <v>-22000000</v>
      </c>
      <c r="F7" s="280">
        <v>-30000000</v>
      </c>
      <c r="H7" s="81"/>
      <c r="I7" s="82"/>
      <c r="J7" s="82"/>
      <c r="K7" s="82"/>
      <c r="L7" s="82"/>
      <c r="M7" s="83"/>
    </row>
    <row r="8" spans="1:13">
      <c r="A8" s="73" t="s">
        <v>37</v>
      </c>
      <c r="B8" s="279">
        <v>1500000000</v>
      </c>
      <c r="C8" s="279">
        <v>800000000000</v>
      </c>
      <c r="D8" s="279">
        <v>600000000</v>
      </c>
      <c r="E8" s="279">
        <v>400000000</v>
      </c>
      <c r="F8" s="280">
        <v>200000000</v>
      </c>
      <c r="H8" s="81"/>
      <c r="I8" s="82"/>
      <c r="J8" s="82"/>
      <c r="K8" s="82"/>
      <c r="L8" s="82"/>
      <c r="M8" s="83"/>
    </row>
    <row r="9" spans="1:13" ht="15" thickBot="1">
      <c r="A9" s="119" t="s">
        <v>38</v>
      </c>
      <c r="B9" s="79">
        <f>B8/B7</f>
        <v>1.6666666666666667</v>
      </c>
      <c r="C9" s="79">
        <f>C8/C7</f>
        <v>16</v>
      </c>
      <c r="D9" s="79">
        <f>D8/D7</f>
        <v>6</v>
      </c>
      <c r="E9" s="79">
        <f>E8/E7</f>
        <v>-18.181818181818183</v>
      </c>
      <c r="F9" s="80">
        <f>F8/F7</f>
        <v>-6.666666666666667</v>
      </c>
      <c r="H9" s="18">
        <f>MAX(B9:F9)</f>
        <v>16</v>
      </c>
      <c r="I9" s="19">
        <f>MIN(B9:F9)</f>
        <v>-18.181818181818183</v>
      </c>
      <c r="J9" s="79">
        <f>AVERAGE(B9:F9)</f>
        <v>-0.2363636363636365</v>
      </c>
      <c r="K9" s="79">
        <f>MEDIAN(B9:G9)</f>
        <v>1.6666666666666667</v>
      </c>
      <c r="L9" s="20">
        <f>AVERAGE(B9:D9)</f>
        <v>7.8888888888888893</v>
      </c>
      <c r="M9" s="74">
        <f>MEDIAN(B9:D9)</f>
        <v>6</v>
      </c>
    </row>
    <row r="10" spans="1:13" ht="15" thickBot="1"/>
    <row r="11" spans="1:13">
      <c r="A11" s="114" t="s">
        <v>43</v>
      </c>
      <c r="B11" s="22" t="s">
        <v>62</v>
      </c>
    </row>
    <row r="12" spans="1:13">
      <c r="A12" s="115" t="s">
        <v>59</v>
      </c>
      <c r="B12" s="282">
        <v>120000000</v>
      </c>
    </row>
    <row r="13" spans="1:13">
      <c r="A13" s="115" t="s">
        <v>60</v>
      </c>
      <c r="B13" s="282">
        <v>53913600</v>
      </c>
    </row>
    <row r="14" spans="1:13" ht="4" customHeight="1">
      <c r="A14" s="115"/>
      <c r="B14" s="283"/>
    </row>
    <row r="15" spans="1:13">
      <c r="A15" s="116" t="s">
        <v>64</v>
      </c>
      <c r="B15" s="284"/>
    </row>
    <row r="16" spans="1:13">
      <c r="A16" s="115" t="s">
        <v>44</v>
      </c>
      <c r="B16" s="285">
        <f>H5*B12</f>
        <v>480000000</v>
      </c>
    </row>
    <row r="17" spans="1:2">
      <c r="A17" s="115" t="s">
        <v>45</v>
      </c>
      <c r="B17" s="285">
        <f>B13*H9</f>
        <v>862617600</v>
      </c>
    </row>
    <row r="18" spans="1:2" ht="4" customHeight="1">
      <c r="A18" s="115"/>
      <c r="B18" s="283"/>
    </row>
    <row r="19" spans="1:2">
      <c r="A19" s="116" t="s">
        <v>65</v>
      </c>
      <c r="B19" s="284"/>
    </row>
    <row r="20" spans="1:2">
      <c r="A20" s="115" t="s">
        <v>44</v>
      </c>
      <c r="B20" s="286">
        <f>I5*B12</f>
        <v>171428571.42857143</v>
      </c>
    </row>
    <row r="21" spans="1:2">
      <c r="A21" s="115" t="s">
        <v>45</v>
      </c>
      <c r="B21" s="286">
        <f>B13*I9</f>
        <v>-980247272.72727287</v>
      </c>
    </row>
    <row r="22" spans="1:2" ht="5" customHeight="1">
      <c r="A22" s="115"/>
      <c r="B22" s="283"/>
    </row>
    <row r="23" spans="1:2">
      <c r="A23" s="116" t="s">
        <v>66</v>
      </c>
      <c r="B23" s="284"/>
    </row>
    <row r="24" spans="1:2">
      <c r="A24" s="115" t="s">
        <v>44</v>
      </c>
      <c r="B24" s="287">
        <f>B12*J5</f>
        <v>292285714.28571433</v>
      </c>
    </row>
    <row r="25" spans="1:2">
      <c r="A25" s="115" t="s">
        <v>61</v>
      </c>
      <c r="B25" s="288">
        <f>B13*L9</f>
        <v>425318400</v>
      </c>
    </row>
    <row r="26" spans="1:2" ht="7" customHeight="1">
      <c r="A26" s="115"/>
      <c r="B26" s="283"/>
    </row>
    <row r="27" spans="1:2">
      <c r="A27" s="116" t="s">
        <v>67</v>
      </c>
      <c r="B27" s="284"/>
    </row>
    <row r="28" spans="1:2">
      <c r="A28" s="115" t="s">
        <v>44</v>
      </c>
      <c r="B28" s="282">
        <f>B12*K5</f>
        <v>270000000</v>
      </c>
    </row>
    <row r="29" spans="1:2" ht="15" thickBot="1">
      <c r="A29" s="117" t="s">
        <v>61</v>
      </c>
      <c r="B29" s="289">
        <f>B13*M9</f>
        <v>323481600</v>
      </c>
    </row>
    <row r="31" spans="1:2" ht="15.5">
      <c r="A31" s="21" t="s">
        <v>122</v>
      </c>
    </row>
  </sheetData>
  <mergeCells count="1">
    <mergeCell ref="L1:M1"/>
  </mergeCells>
  <pageMargins left="0.7" right="0.7" top="0.75" bottom="0.75" header="0.3" footer="0.3"/>
  <pageSetup paperSize="9" scale="65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00BC-3CAC-4E24-9306-8D9F095B8FC5}">
  <dimension ref="A1:E33"/>
  <sheetViews>
    <sheetView topLeftCell="B14" zoomScale="225" zoomScaleNormal="150" workbookViewId="0">
      <selection sqref="A1:E34"/>
    </sheetView>
  </sheetViews>
  <sheetFormatPr defaultColWidth="8.81640625" defaultRowHeight="14.5"/>
  <cols>
    <col min="1" max="1" width="35.1796875" bestFit="1" customWidth="1"/>
    <col min="2" max="2" width="17.6328125" bestFit="1" customWidth="1"/>
    <col min="3" max="3" width="16.453125" customWidth="1"/>
    <col min="4" max="4" width="18.6328125" bestFit="1" customWidth="1"/>
    <col min="5" max="5" width="17.6328125" bestFit="1" customWidth="1"/>
    <col min="6" max="6" width="13.453125" bestFit="1" customWidth="1"/>
    <col min="11" max="11" width="11.1796875" customWidth="1"/>
    <col min="12" max="12" width="10.81640625" customWidth="1"/>
  </cols>
  <sheetData>
    <row r="1" spans="1:5" ht="15" thickBot="1">
      <c r="A1" s="32" t="s">
        <v>76</v>
      </c>
      <c r="B1" s="1"/>
      <c r="C1" s="1"/>
      <c r="D1" s="1"/>
    </row>
    <row r="2" spans="1:5">
      <c r="A2" s="37" t="s">
        <v>0</v>
      </c>
      <c r="B2" s="38" t="s">
        <v>56</v>
      </c>
      <c r="C2" s="38" t="s">
        <v>46</v>
      </c>
      <c r="D2" s="38" t="s">
        <v>124</v>
      </c>
      <c r="E2" s="39" t="s">
        <v>47</v>
      </c>
    </row>
    <row r="3" spans="1:5">
      <c r="A3" s="40" t="s">
        <v>1</v>
      </c>
      <c r="B3" s="290">
        <v>7000000</v>
      </c>
      <c r="C3" s="290">
        <v>7000000</v>
      </c>
      <c r="D3" s="290">
        <v>7000000</v>
      </c>
      <c r="E3" s="291">
        <v>7000000</v>
      </c>
    </row>
    <row r="4" spans="1:5">
      <c r="A4" s="41" t="s">
        <v>2</v>
      </c>
      <c r="B4" s="2">
        <v>5</v>
      </c>
      <c r="C4" s="2">
        <v>5</v>
      </c>
      <c r="D4" s="2">
        <v>5</v>
      </c>
      <c r="E4" s="33">
        <v>7</v>
      </c>
    </row>
    <row r="5" spans="1:5">
      <c r="A5" s="41" t="s">
        <v>3</v>
      </c>
      <c r="B5" s="3">
        <v>0.2</v>
      </c>
      <c r="C5" s="3">
        <v>0.2</v>
      </c>
      <c r="D5" s="3">
        <v>0.6</v>
      </c>
      <c r="E5" s="34">
        <v>0.6</v>
      </c>
    </row>
    <row r="6" spans="1:5" ht="15" thickBot="1">
      <c r="A6" s="42" t="s">
        <v>4</v>
      </c>
      <c r="B6" s="35">
        <f>(1+B5)^B4</f>
        <v>2.4883199999999999</v>
      </c>
      <c r="C6" s="35">
        <f>(1+C5)^C4</f>
        <v>2.4883199999999999</v>
      </c>
      <c r="D6" s="35">
        <f>(1+D5)^D4</f>
        <v>10.485760000000006</v>
      </c>
      <c r="E6" s="36">
        <f>(1+E5)^E4</f>
        <v>26.84354560000002</v>
      </c>
    </row>
    <row r="7" spans="1:5" ht="15" thickBot="1">
      <c r="B7" s="1"/>
      <c r="C7" s="1"/>
      <c r="E7" s="1"/>
    </row>
    <row r="8" spans="1:5">
      <c r="A8" s="37" t="s">
        <v>5</v>
      </c>
      <c r="B8" s="38" t="s">
        <v>56</v>
      </c>
      <c r="C8" s="38" t="s">
        <v>46</v>
      </c>
      <c r="D8" s="38" t="s">
        <v>124</v>
      </c>
      <c r="E8" s="39" t="s">
        <v>47</v>
      </c>
    </row>
    <row r="9" spans="1:5">
      <c r="A9" s="41" t="s">
        <v>6</v>
      </c>
      <c r="B9" s="43">
        <v>8500000</v>
      </c>
      <c r="C9" s="43">
        <f t="shared" ref="C9:E10" si="0">B9</f>
        <v>8500000</v>
      </c>
      <c r="D9" s="43">
        <f t="shared" si="0"/>
        <v>8500000</v>
      </c>
      <c r="E9" s="44">
        <f t="shared" si="0"/>
        <v>8500000</v>
      </c>
    </row>
    <row r="10" spans="1:5" ht="15" thickBot="1">
      <c r="A10" s="42" t="s">
        <v>7</v>
      </c>
      <c r="B10" s="45">
        <v>1500000</v>
      </c>
      <c r="C10" s="45">
        <f t="shared" si="0"/>
        <v>1500000</v>
      </c>
      <c r="D10" s="45">
        <f t="shared" si="0"/>
        <v>1500000</v>
      </c>
      <c r="E10" s="46">
        <f t="shared" si="0"/>
        <v>1500000</v>
      </c>
    </row>
    <row r="11" spans="1:5" ht="15" thickBot="1">
      <c r="B11" s="1"/>
      <c r="C11" s="1"/>
      <c r="D11" s="1"/>
      <c r="E11" s="1"/>
    </row>
    <row r="12" spans="1:5">
      <c r="A12" s="37" t="s">
        <v>127</v>
      </c>
      <c r="B12" s="38" t="s">
        <v>56</v>
      </c>
      <c r="C12" s="38" t="s">
        <v>46</v>
      </c>
      <c r="D12" s="38" t="s">
        <v>124</v>
      </c>
      <c r="E12" s="39" t="s">
        <v>47</v>
      </c>
    </row>
    <row r="13" spans="1:5" ht="15" thickBot="1">
      <c r="A13" s="47" t="s">
        <v>8</v>
      </c>
      <c r="B13" s="292">
        <f>'Equity Comparables Method'!B16</f>
        <v>480000000</v>
      </c>
      <c r="C13" s="292">
        <f>'Equity Comparables Method'!B28</f>
        <v>270000000</v>
      </c>
      <c r="D13" s="292">
        <f>C13</f>
        <v>270000000</v>
      </c>
      <c r="E13" s="293">
        <f>D13</f>
        <v>270000000</v>
      </c>
    </row>
    <row r="14" spans="1:5" ht="15" thickBot="1">
      <c r="B14" s="1"/>
      <c r="C14" s="1"/>
      <c r="D14" s="1"/>
      <c r="E14" s="1"/>
    </row>
    <row r="15" spans="1:5">
      <c r="A15" s="51" t="s">
        <v>9</v>
      </c>
      <c r="B15" s="38" t="s">
        <v>56</v>
      </c>
      <c r="C15" s="38" t="s">
        <v>46</v>
      </c>
      <c r="D15" s="38" t="s">
        <v>124</v>
      </c>
      <c r="E15" s="39" t="s">
        <v>47</v>
      </c>
    </row>
    <row r="16" spans="1:5">
      <c r="A16" s="40" t="s">
        <v>10</v>
      </c>
      <c r="B16" s="294">
        <f>B13/B6</f>
        <v>192901234.56790125</v>
      </c>
      <c r="C16" s="294">
        <f>C13/C6</f>
        <v>108506944.44444445</v>
      </c>
      <c r="D16" s="294">
        <f>D13/D6</f>
        <v>25749206.542968735</v>
      </c>
      <c r="E16" s="295">
        <f>E13/E6</f>
        <v>10058283.805847161</v>
      </c>
    </row>
    <row r="17" spans="1:5">
      <c r="A17" s="41" t="s">
        <v>11</v>
      </c>
      <c r="B17" s="294">
        <f>B16-B3</f>
        <v>185901234.56790125</v>
      </c>
      <c r="C17" s="294">
        <f>C16-C3</f>
        <v>101506944.44444445</v>
      </c>
      <c r="D17" s="294">
        <f>D16-D3</f>
        <v>18749206.542968735</v>
      </c>
      <c r="E17" s="295">
        <f>E16-E3</f>
        <v>3058283.8058471605</v>
      </c>
    </row>
    <row r="18" spans="1:5">
      <c r="A18" s="41" t="s">
        <v>12</v>
      </c>
      <c r="B18" s="294">
        <f>B17/B19</f>
        <v>18.590123456790124</v>
      </c>
      <c r="C18" s="294">
        <f>C17/C19</f>
        <v>10.150694444444445</v>
      </c>
      <c r="D18" s="294">
        <f>D17/D19</f>
        <v>1.8749206542968735</v>
      </c>
      <c r="E18" s="295">
        <f>E17/E19</f>
        <v>0.30582838058471606</v>
      </c>
    </row>
    <row r="19" spans="1:5">
      <c r="A19" s="41" t="s">
        <v>13</v>
      </c>
      <c r="B19" s="4">
        <f>B9+B10</f>
        <v>10000000</v>
      </c>
      <c r="C19" s="4">
        <f>C9+C10</f>
        <v>10000000</v>
      </c>
      <c r="D19" s="4">
        <f>D9+D10</f>
        <v>10000000</v>
      </c>
      <c r="E19" s="48">
        <f>E9+E10</f>
        <v>10000000</v>
      </c>
    </row>
    <row r="20" spans="1:5">
      <c r="A20" s="41" t="s">
        <v>14</v>
      </c>
      <c r="B20" s="4">
        <f>B3/B18</f>
        <v>376544.02975162701</v>
      </c>
      <c r="C20" s="4">
        <f>C3/C18</f>
        <v>689607.99069576513</v>
      </c>
      <c r="D20" s="4">
        <f>D3/D18</f>
        <v>3733491.3261303403</v>
      </c>
      <c r="E20" s="48">
        <f>E3/E18</f>
        <v>22888654.043868121</v>
      </c>
    </row>
    <row r="21" spans="1:5" ht="15" thickBot="1">
      <c r="A21" s="126" t="s">
        <v>15</v>
      </c>
      <c r="B21" s="49">
        <f>B19+B20</f>
        <v>10376544.029751627</v>
      </c>
      <c r="C21" s="49">
        <f>C19+C20</f>
        <v>10689607.990695765</v>
      </c>
      <c r="D21" s="49">
        <f>D19+D20</f>
        <v>13733491.32613034</v>
      </c>
      <c r="E21" s="50">
        <f>E19+E20</f>
        <v>32888654.043868121</v>
      </c>
    </row>
    <row r="22" spans="1:5" ht="15" thickBot="1">
      <c r="B22" s="1"/>
      <c r="C22" s="1"/>
      <c r="D22" s="1"/>
      <c r="E22" s="1"/>
    </row>
    <row r="23" spans="1:5">
      <c r="A23" s="51" t="s">
        <v>16</v>
      </c>
      <c r="B23" s="38" t="s">
        <v>56</v>
      </c>
      <c r="C23" s="38" t="s">
        <v>46</v>
      </c>
      <c r="D23" s="38" t="s">
        <v>124</v>
      </c>
      <c r="E23" s="39" t="s">
        <v>47</v>
      </c>
    </row>
    <row r="24" spans="1:5">
      <c r="A24" s="40" t="s">
        <v>6</v>
      </c>
      <c r="B24" s="4">
        <f t="shared" ref="B24:E25" si="1">B9</f>
        <v>8500000</v>
      </c>
      <c r="C24" s="4">
        <f t="shared" si="1"/>
        <v>8500000</v>
      </c>
      <c r="D24" s="4">
        <f t="shared" si="1"/>
        <v>8500000</v>
      </c>
      <c r="E24" s="48">
        <f t="shared" si="1"/>
        <v>8500000</v>
      </c>
    </row>
    <row r="25" spans="1:5">
      <c r="A25" s="41" t="s">
        <v>7</v>
      </c>
      <c r="B25" s="4">
        <f t="shared" si="1"/>
        <v>1500000</v>
      </c>
      <c r="C25" s="4">
        <f t="shared" si="1"/>
        <v>1500000</v>
      </c>
      <c r="D25" s="4">
        <f t="shared" si="1"/>
        <v>1500000</v>
      </c>
      <c r="E25" s="48">
        <f t="shared" si="1"/>
        <v>1500000</v>
      </c>
    </row>
    <row r="26" spans="1:5" ht="15" thickBot="1">
      <c r="A26" s="42" t="s">
        <v>17</v>
      </c>
      <c r="B26" s="49">
        <f>B20</f>
        <v>376544.02975162701</v>
      </c>
      <c r="C26" s="49">
        <f>C20</f>
        <v>689607.99069576513</v>
      </c>
      <c r="D26" s="49">
        <f>D20</f>
        <v>3733491.3261303403</v>
      </c>
      <c r="E26" s="50">
        <f>E20</f>
        <v>22888654.043868121</v>
      </c>
    </row>
    <row r="27" spans="1:5" ht="15" thickBot="1"/>
    <row r="28" spans="1:5">
      <c r="A28" s="51" t="s">
        <v>18</v>
      </c>
      <c r="B28" s="38" t="s">
        <v>56</v>
      </c>
      <c r="C28" s="38" t="s">
        <v>46</v>
      </c>
      <c r="D28" s="38" t="s">
        <v>124</v>
      </c>
      <c r="E28" s="39" t="s">
        <v>47</v>
      </c>
    </row>
    <row r="29" spans="1:5">
      <c r="A29" s="41" t="s">
        <v>19</v>
      </c>
      <c r="B29" s="6">
        <f>B24/B21</f>
        <v>0.81915519999999997</v>
      </c>
      <c r="C29" s="6">
        <f>C24/C21</f>
        <v>0.7951648</v>
      </c>
      <c r="D29" s="6">
        <f>D24/D21</f>
        <v>0.61892491851851839</v>
      </c>
      <c r="E29" s="52">
        <f>E24/E21</f>
        <v>0.25844779140740698</v>
      </c>
    </row>
    <row r="30" spans="1:5">
      <c r="A30" s="41" t="s">
        <v>20</v>
      </c>
      <c r="B30" s="6">
        <f>B25/B21</f>
        <v>0.14455680000000001</v>
      </c>
      <c r="C30" s="6">
        <f>C25/C21</f>
        <v>0.14032320000000001</v>
      </c>
      <c r="D30" s="6">
        <f>D25/D21</f>
        <v>0.10922204444444443</v>
      </c>
      <c r="E30" s="52">
        <f>E25/E21</f>
        <v>4.56084337777777E-2</v>
      </c>
    </row>
    <row r="31" spans="1:5" ht="15" thickBot="1">
      <c r="A31" s="42" t="s">
        <v>21</v>
      </c>
      <c r="B31" s="53">
        <f>B26/B21</f>
        <v>3.6288000000000001E-2</v>
      </c>
      <c r="C31" s="53">
        <f>C26/C21</f>
        <v>6.4511999999999986E-2</v>
      </c>
      <c r="D31" s="53">
        <f>D26/D21</f>
        <v>0.27185303703703717</v>
      </c>
      <c r="E31" s="54">
        <f>E26/E21</f>
        <v>0.69594377481481529</v>
      </c>
    </row>
    <row r="33" spans="1:5">
      <c r="A33" s="456" t="s">
        <v>48</v>
      </c>
      <c r="B33" s="457"/>
      <c r="C33" s="457"/>
      <c r="D33" s="457"/>
      <c r="E33" s="457"/>
    </row>
  </sheetData>
  <mergeCells count="1">
    <mergeCell ref="A33:E3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5FF44-50AA-4149-9FB7-6D70138A2359}">
  <dimension ref="A1:C34"/>
  <sheetViews>
    <sheetView zoomScale="160" zoomScaleNormal="160" workbookViewId="0">
      <selection activeCell="B5" sqref="B5"/>
    </sheetView>
  </sheetViews>
  <sheetFormatPr defaultColWidth="8.81640625" defaultRowHeight="14.5"/>
  <cols>
    <col min="1" max="1" width="30" bestFit="1" customWidth="1"/>
    <col min="2" max="2" width="15.6328125" bestFit="1" customWidth="1"/>
    <col min="3" max="3" width="14.453125" bestFit="1" customWidth="1"/>
  </cols>
  <sheetData>
    <row r="1" spans="1:3" ht="15" thickBot="1">
      <c r="A1" s="121" t="s">
        <v>75</v>
      </c>
    </row>
    <row r="2" spans="1:3">
      <c r="A2" s="37" t="s">
        <v>0</v>
      </c>
      <c r="B2" s="122" t="s">
        <v>22</v>
      </c>
      <c r="C2" s="123" t="s">
        <v>23</v>
      </c>
    </row>
    <row r="3" spans="1:3">
      <c r="A3" s="40" t="s">
        <v>1</v>
      </c>
      <c r="B3" s="290">
        <v>3000000</v>
      </c>
      <c r="C3" s="291">
        <v>4000000</v>
      </c>
    </row>
    <row r="4" spans="1:3">
      <c r="A4" s="133" t="s">
        <v>2</v>
      </c>
      <c r="B4" s="131">
        <v>1</v>
      </c>
      <c r="C4" s="132">
        <v>5</v>
      </c>
    </row>
    <row r="5" spans="1:3">
      <c r="A5" s="41" t="s">
        <v>3</v>
      </c>
      <c r="B5" s="3">
        <v>0.6</v>
      </c>
      <c r="C5" s="34">
        <v>0.6</v>
      </c>
    </row>
    <row r="6" spans="1:3" ht="15" thickBot="1">
      <c r="A6" s="42" t="s">
        <v>4</v>
      </c>
      <c r="B6" s="35">
        <f>(1+B5)^B4</f>
        <v>1.6</v>
      </c>
      <c r="C6" s="36">
        <f>(1+C5)^C4</f>
        <v>10.485760000000006</v>
      </c>
    </row>
    <row r="7" spans="1:3" ht="15" thickBot="1">
      <c r="B7" s="1"/>
      <c r="C7" s="1"/>
    </row>
    <row r="8" spans="1:3">
      <c r="A8" s="37" t="s">
        <v>5</v>
      </c>
      <c r="B8" s="39"/>
      <c r="C8" s="1"/>
    </row>
    <row r="9" spans="1:3">
      <c r="A9" s="40" t="s">
        <v>6</v>
      </c>
      <c r="B9" s="124">
        <v>8500000</v>
      </c>
      <c r="C9" s="1"/>
    </row>
    <row r="10" spans="1:3" ht="15" thickBot="1">
      <c r="A10" s="42" t="s">
        <v>7</v>
      </c>
      <c r="B10" s="125">
        <v>1500000</v>
      </c>
      <c r="C10" s="1"/>
    </row>
    <row r="11" spans="1:3" ht="15" thickBot="1">
      <c r="B11" s="1"/>
      <c r="C11" s="1"/>
    </row>
    <row r="12" spans="1:3">
      <c r="A12" s="37" t="s">
        <v>127</v>
      </c>
      <c r="B12" s="134"/>
      <c r="C12" s="1"/>
    </row>
    <row r="13" spans="1:3" ht="15" thickBot="1">
      <c r="A13" s="120" t="s">
        <v>8</v>
      </c>
      <c r="B13" s="293">
        <f>'Venture Capital Method 1 round'!E13</f>
        <v>270000000</v>
      </c>
      <c r="C13" s="1"/>
    </row>
    <row r="14" spans="1:3" ht="15" thickBot="1">
      <c r="B14" s="1"/>
      <c r="C14" s="1"/>
    </row>
    <row r="15" spans="1:3">
      <c r="A15" s="458" t="s">
        <v>24</v>
      </c>
      <c r="B15" s="459"/>
      <c r="C15" s="460"/>
    </row>
    <row r="16" spans="1:3">
      <c r="A16" s="128" t="s">
        <v>9</v>
      </c>
      <c r="B16" s="129" t="s">
        <v>22</v>
      </c>
      <c r="C16" s="130" t="s">
        <v>23</v>
      </c>
    </row>
    <row r="17" spans="1:3">
      <c r="A17" s="40" t="s">
        <v>10</v>
      </c>
      <c r="B17" s="296">
        <f>C18/B6</f>
        <v>13593254.089355459</v>
      </c>
      <c r="C17" s="297">
        <f>B13/C6</f>
        <v>25749206.542968735</v>
      </c>
    </row>
    <row r="18" spans="1:3">
      <c r="A18" s="41" t="s">
        <v>11</v>
      </c>
      <c r="B18" s="294">
        <f>B17-B3</f>
        <v>10593254.089355459</v>
      </c>
      <c r="C18" s="295">
        <f>C17-C3</f>
        <v>21749206.542968735</v>
      </c>
    </row>
    <row r="19" spans="1:3">
      <c r="A19" s="41" t="s">
        <v>12</v>
      </c>
      <c r="B19" s="294">
        <f>B18/B20</f>
        <v>1.0593254089355459</v>
      </c>
      <c r="C19" s="295">
        <f>C18/C20</f>
        <v>1.6949206542968733</v>
      </c>
    </row>
    <row r="20" spans="1:3">
      <c r="A20" s="41" t="s">
        <v>13</v>
      </c>
      <c r="B20" s="4">
        <f>B9+B10</f>
        <v>10000000</v>
      </c>
      <c r="C20" s="48">
        <f>C25+C26+C27</f>
        <v>12831990.977177188</v>
      </c>
    </row>
    <row r="21" spans="1:3">
      <c r="A21" s="41" t="s">
        <v>14</v>
      </c>
      <c r="B21" s="4">
        <f>B3/B19</f>
        <v>2831990.9771771869</v>
      </c>
      <c r="C21" s="48">
        <f>C3/C19</f>
        <v>2359992.4809809895</v>
      </c>
    </row>
    <row r="22" spans="1:3" ht="15" thickBot="1">
      <c r="A22" s="126" t="s">
        <v>15</v>
      </c>
      <c r="B22" s="49">
        <f>B20+B21</f>
        <v>12831990.977177188</v>
      </c>
      <c r="C22" s="50">
        <f>C20+C21</f>
        <v>15191983.458158176</v>
      </c>
    </row>
    <row r="23" spans="1:3" ht="15" thickBot="1">
      <c r="B23" s="1"/>
      <c r="C23" s="1"/>
    </row>
    <row r="24" spans="1:3" ht="15" thickBot="1">
      <c r="A24" s="135" t="s">
        <v>16</v>
      </c>
      <c r="B24" s="5"/>
      <c r="C24" s="5"/>
    </row>
    <row r="25" spans="1:3">
      <c r="A25" s="139" t="s">
        <v>6</v>
      </c>
      <c r="B25" s="136">
        <f>B9</f>
        <v>8500000</v>
      </c>
      <c r="C25" s="137">
        <f>B25</f>
        <v>8500000</v>
      </c>
    </row>
    <row r="26" spans="1:3">
      <c r="A26" s="41" t="s">
        <v>7</v>
      </c>
      <c r="B26" s="4">
        <f>B10</f>
        <v>1500000</v>
      </c>
      <c r="C26" s="48">
        <f>B26</f>
        <v>1500000</v>
      </c>
    </row>
    <row r="27" spans="1:3">
      <c r="A27" s="41" t="s">
        <v>17</v>
      </c>
      <c r="B27" s="4">
        <f>B21</f>
        <v>2831990.9771771869</v>
      </c>
      <c r="C27" s="48">
        <f>B27</f>
        <v>2831990.9771771869</v>
      </c>
    </row>
    <row r="28" spans="1:3" ht="15" thickBot="1">
      <c r="A28" s="42" t="s">
        <v>25</v>
      </c>
      <c r="B28" s="138" t="s">
        <v>26</v>
      </c>
      <c r="C28" s="50">
        <f>C21</f>
        <v>2359992.4809809895</v>
      </c>
    </row>
    <row r="29" spans="1:3" ht="15" thickBot="1">
      <c r="B29" s="1"/>
      <c r="C29" s="1"/>
    </row>
    <row r="30" spans="1:3" ht="15" thickBot="1">
      <c r="A30" s="140" t="s">
        <v>18</v>
      </c>
      <c r="B30" s="141"/>
      <c r="C30" s="142"/>
    </row>
    <row r="31" spans="1:3">
      <c r="A31" s="139" t="s">
        <v>19</v>
      </c>
      <c r="B31" s="6">
        <f>B25/B22</f>
        <v>0.66240694956207413</v>
      </c>
      <c r="C31" s="52">
        <f>C25/C22</f>
        <v>0.55950561185185166</v>
      </c>
    </row>
    <row r="32" spans="1:3">
      <c r="A32" s="41" t="s">
        <v>20</v>
      </c>
      <c r="B32" s="6">
        <f>B26/B22</f>
        <v>0.11689534404036603</v>
      </c>
      <c r="C32" s="52">
        <f>C26/C22</f>
        <v>9.8736284444444419E-2</v>
      </c>
    </row>
    <row r="33" spans="1:3">
      <c r="A33" s="41" t="s">
        <v>21</v>
      </c>
      <c r="B33" s="6">
        <f>B27/B22</f>
        <v>0.22069770639755976</v>
      </c>
      <c r="C33" s="52">
        <f>C27/C22</f>
        <v>0.18641351111111121</v>
      </c>
    </row>
    <row r="34" spans="1:3" ht="15" thickBot="1">
      <c r="A34" s="42" t="s">
        <v>27</v>
      </c>
      <c r="B34" s="53" t="s">
        <v>26</v>
      </c>
      <c r="C34" s="54">
        <f>C28/C22</f>
        <v>0.1553445925925927</v>
      </c>
    </row>
  </sheetData>
  <mergeCells count="1">
    <mergeCell ref="A15:C15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DB28E-1A4A-41BA-8F9C-392859026F92}">
  <sheetPr>
    <pageSetUpPr fitToPage="1"/>
  </sheetPr>
  <dimension ref="A1:L20"/>
  <sheetViews>
    <sheetView zoomScaleNormal="100" zoomScaleSheetLayoutView="40" workbookViewId="0">
      <selection activeCell="G19" sqref="G19"/>
    </sheetView>
  </sheetViews>
  <sheetFormatPr defaultColWidth="8.81640625" defaultRowHeight="14.5"/>
  <cols>
    <col min="1" max="1" width="22.453125" bestFit="1" customWidth="1"/>
    <col min="2" max="2" width="10.6328125" customWidth="1"/>
    <col min="3" max="3" width="13.7265625" bestFit="1" customWidth="1"/>
    <col min="4" max="4" width="10.7265625" bestFit="1" customWidth="1"/>
    <col min="5" max="5" width="19.453125" style="8" bestFit="1" customWidth="1"/>
    <col min="6" max="6" width="12.36328125" bestFit="1" customWidth="1"/>
    <col min="7" max="7" width="14.90625" bestFit="1" customWidth="1"/>
    <col min="8" max="8" width="10.7265625" bestFit="1" customWidth="1"/>
    <col min="9" max="9" width="16.1796875" bestFit="1" customWidth="1"/>
    <col min="10" max="10" width="12.36328125" bestFit="1" customWidth="1"/>
    <col min="11" max="11" width="13.36328125" bestFit="1" customWidth="1"/>
    <col min="12" max="12" width="10.7265625" bestFit="1" customWidth="1"/>
  </cols>
  <sheetData>
    <row r="1" spans="1:12" ht="15.5">
      <c r="A1" s="69" t="s">
        <v>77</v>
      </c>
      <c r="B1" s="466" t="s">
        <v>50</v>
      </c>
      <c r="C1" s="467"/>
      <c r="D1" s="468"/>
      <c r="E1" s="461" t="s">
        <v>51</v>
      </c>
      <c r="F1" s="462"/>
      <c r="G1" s="462"/>
      <c r="H1" s="463"/>
      <c r="I1" s="464" t="s">
        <v>57</v>
      </c>
      <c r="J1" s="464"/>
      <c r="K1" s="464"/>
      <c r="L1" s="465"/>
    </row>
    <row r="2" spans="1:12" ht="16" thickBot="1">
      <c r="A2" s="70" t="s">
        <v>74</v>
      </c>
      <c r="B2" s="24" t="s">
        <v>1</v>
      </c>
      <c r="C2" s="25" t="s">
        <v>15</v>
      </c>
      <c r="D2" s="26" t="s">
        <v>49</v>
      </c>
      <c r="E2" s="27" t="s">
        <v>1</v>
      </c>
      <c r="F2" s="28" t="s">
        <v>55</v>
      </c>
      <c r="G2" s="28" t="s">
        <v>15</v>
      </c>
      <c r="H2" s="29" t="s">
        <v>49</v>
      </c>
      <c r="I2" s="30" t="s">
        <v>1</v>
      </c>
      <c r="J2" s="30" t="s">
        <v>53</v>
      </c>
      <c r="K2" s="30" t="s">
        <v>15</v>
      </c>
      <c r="L2" s="31" t="s">
        <v>49</v>
      </c>
    </row>
    <row r="3" spans="1:12">
      <c r="A3" s="55" t="s">
        <v>68</v>
      </c>
      <c r="B3" s="298">
        <v>8.5</v>
      </c>
      <c r="C3" s="57">
        <v>8500000</v>
      </c>
      <c r="D3" s="58">
        <f>C3/$C$8</f>
        <v>0.85</v>
      </c>
      <c r="E3" s="300"/>
      <c r="F3" s="60"/>
      <c r="G3" s="57">
        <f>C3</f>
        <v>8500000</v>
      </c>
      <c r="H3" s="58">
        <f>G3/$G$8</f>
        <v>0.6611111111111112</v>
      </c>
      <c r="I3" s="303" t="s">
        <v>54</v>
      </c>
      <c r="J3" s="60"/>
      <c r="K3" s="57">
        <f>G3+J3</f>
        <v>8500000</v>
      </c>
      <c r="L3" s="58">
        <f>K3/$K$8</f>
        <v>0.55883977900552495</v>
      </c>
    </row>
    <row r="4" spans="1:12">
      <c r="A4" s="55" t="s">
        <v>69</v>
      </c>
      <c r="B4" s="298"/>
      <c r="C4" s="57">
        <v>1500000</v>
      </c>
      <c r="D4" s="58">
        <f>C4/$C$8</f>
        <v>0.15</v>
      </c>
      <c r="E4" s="300"/>
      <c r="F4" s="60"/>
      <c r="G4" s="57">
        <f>C4</f>
        <v>1500000</v>
      </c>
      <c r="H4" s="58">
        <f>G4/$G$8</f>
        <v>0.11666666666666667</v>
      </c>
      <c r="I4" s="303"/>
      <c r="J4" s="60"/>
      <c r="K4" s="57">
        <f>G4+J4</f>
        <v>1500000</v>
      </c>
      <c r="L4" s="58">
        <f>K4/$K$8</f>
        <v>9.8618784530386749E-2</v>
      </c>
    </row>
    <row r="5" spans="1:12">
      <c r="A5" s="55" t="s">
        <v>70</v>
      </c>
      <c r="B5" s="298"/>
      <c r="C5" s="57"/>
      <c r="D5" s="59"/>
      <c r="E5" s="300">
        <v>2000000</v>
      </c>
      <c r="F5" s="57">
        <f>E5/E10</f>
        <v>1904761.9047619046</v>
      </c>
      <c r="G5" s="57">
        <f>F5</f>
        <v>1904761.9047619046</v>
      </c>
      <c r="H5" s="58">
        <f>G5/$G$8</f>
        <v>0.14814814814814814</v>
      </c>
      <c r="I5" s="303">
        <v>3000000</v>
      </c>
      <c r="J5" s="57">
        <f>I5/I10</f>
        <v>1764705.8823529412</v>
      </c>
      <c r="K5" s="57">
        <f>G5+J5</f>
        <v>3669467.7871148456</v>
      </c>
      <c r="L5" s="58">
        <f>K5/$K$8</f>
        <v>0.24125230202578271</v>
      </c>
    </row>
    <row r="6" spans="1:12">
      <c r="A6" s="55" t="s">
        <v>71</v>
      </c>
      <c r="B6" s="298"/>
      <c r="C6" s="57"/>
      <c r="D6" s="59"/>
      <c r="E6" s="300">
        <v>1000000</v>
      </c>
      <c r="F6" s="57">
        <f>E6/E10</f>
        <v>952380.95238095231</v>
      </c>
      <c r="G6" s="57">
        <f>F6</f>
        <v>952380.95238095231</v>
      </c>
      <c r="H6" s="58">
        <f>G6/G8</f>
        <v>7.407407407407407E-2</v>
      </c>
      <c r="I6" s="303"/>
      <c r="J6" s="57"/>
      <c r="K6" s="57">
        <f>G6</f>
        <v>952380.95238095231</v>
      </c>
      <c r="L6" s="58">
        <f>K6/K8</f>
        <v>6.2615101289134445E-2</v>
      </c>
    </row>
    <row r="7" spans="1:12">
      <c r="A7" s="55" t="s">
        <v>72</v>
      </c>
      <c r="B7" s="298"/>
      <c r="C7" s="57"/>
      <c r="D7" s="59"/>
      <c r="E7" s="300"/>
      <c r="F7" s="57"/>
      <c r="G7" s="57"/>
      <c r="H7" s="58"/>
      <c r="I7" s="303">
        <v>1000000</v>
      </c>
      <c r="J7" s="57">
        <f>I7/I10</f>
        <v>588235.29411764711</v>
      </c>
      <c r="K7" s="57">
        <f>J7</f>
        <v>588235.29411764711</v>
      </c>
      <c r="L7" s="58">
        <f>K7/K8</f>
        <v>3.8674033149171276E-2</v>
      </c>
    </row>
    <row r="8" spans="1:12" ht="15" thickBot="1">
      <c r="A8" s="56" t="s">
        <v>52</v>
      </c>
      <c r="B8" s="299">
        <f>SUM(B3:B7)</f>
        <v>8.5</v>
      </c>
      <c r="C8" s="143">
        <f>SUM(C3:C5)</f>
        <v>10000000</v>
      </c>
      <c r="D8" s="144">
        <f>SUM(D3:D5)</f>
        <v>1</v>
      </c>
      <c r="E8" s="301">
        <f>SUM(E3:E6)</f>
        <v>3000000</v>
      </c>
      <c r="F8" s="143">
        <f>SUM(F3:F6)</f>
        <v>2857142.8571428568</v>
      </c>
      <c r="G8" s="143">
        <f>C8+F8</f>
        <v>12857142.857142856</v>
      </c>
      <c r="H8" s="144">
        <f>SUM(H3:H6)</f>
        <v>1</v>
      </c>
      <c r="I8" s="304">
        <f>SUM(I3:I7)</f>
        <v>4000000</v>
      </c>
      <c r="J8" s="143">
        <f>SUM(J3:J7)</f>
        <v>2352941.1764705884</v>
      </c>
      <c r="K8" s="143">
        <f>SUM(K3:K7)</f>
        <v>15210084.033613443</v>
      </c>
      <c r="L8" s="144">
        <f>SUM(L3:L7)</f>
        <v>1.0000000000000002</v>
      </c>
    </row>
    <row r="9" spans="1:12" ht="15" thickBot="1">
      <c r="E9"/>
    </row>
    <row r="10" spans="1:12">
      <c r="A10" s="66" t="s">
        <v>12</v>
      </c>
      <c r="B10" s="61"/>
      <c r="C10" s="61"/>
      <c r="D10" s="61"/>
      <c r="E10" s="305">
        <v>1.05</v>
      </c>
      <c r="F10" s="61"/>
      <c r="G10" s="61"/>
      <c r="H10" s="63"/>
      <c r="I10" s="308">
        <v>1.7</v>
      </c>
    </row>
    <row r="11" spans="1:12">
      <c r="A11" s="67" t="s">
        <v>11</v>
      </c>
      <c r="B11" s="60"/>
      <c r="C11" s="60"/>
      <c r="D11" s="60"/>
      <c r="E11" s="306">
        <f>E10*C8</f>
        <v>10500000</v>
      </c>
      <c r="F11" s="60"/>
      <c r="G11" s="60"/>
      <c r="H11" s="59"/>
      <c r="I11" s="281">
        <f>I10*G8</f>
        <v>21857142.857142854</v>
      </c>
    </row>
    <row r="12" spans="1:12" ht="15" thickBot="1">
      <c r="A12" s="68" t="s">
        <v>10</v>
      </c>
      <c r="B12" s="62"/>
      <c r="C12" s="62"/>
      <c r="D12" s="62"/>
      <c r="E12" s="307">
        <f>E10*G8</f>
        <v>13500000</v>
      </c>
      <c r="F12" s="62"/>
      <c r="G12" s="62"/>
      <c r="H12" s="64"/>
      <c r="I12" s="309">
        <f>I10*K8</f>
        <v>25857142.857142854</v>
      </c>
    </row>
    <row r="14" spans="1:12">
      <c r="A14" s="65" t="s">
        <v>73</v>
      </c>
      <c r="B14" s="7"/>
    </row>
    <row r="15" spans="1:12">
      <c r="A15" t="s">
        <v>206</v>
      </c>
    </row>
    <row r="16" spans="1:12">
      <c r="D16" s="23"/>
    </row>
    <row r="20" spans="7:7">
      <c r="G20" s="9"/>
    </row>
  </sheetData>
  <mergeCells count="3">
    <mergeCell ref="E1:H1"/>
    <mergeCell ref="I1:L1"/>
    <mergeCell ref="B1:D1"/>
  </mergeCells>
  <pageMargins left="0.7" right="0.7" top="0.75" bottom="0.75" header="0.3" footer="0.3"/>
  <pageSetup paperSize="9" scale="78" orientation="landscape" r:id="rId1"/>
  <ignoredErrors>
    <ignoredError sqref="G8 E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0638-69B1-6244-BA09-CB1052D0BD49}">
  <sheetPr>
    <pageSetUpPr fitToPage="1"/>
  </sheetPr>
  <dimension ref="A1:L20"/>
  <sheetViews>
    <sheetView topLeftCell="E1" zoomScale="130" zoomScaleNormal="130" workbookViewId="0">
      <selection activeCell="A17" sqref="A17"/>
    </sheetView>
  </sheetViews>
  <sheetFormatPr defaultColWidth="8.81640625" defaultRowHeight="14.5"/>
  <cols>
    <col min="1" max="1" width="22.453125" bestFit="1" customWidth="1"/>
    <col min="2" max="2" width="10.6328125" customWidth="1"/>
    <col min="3" max="3" width="11.1796875" bestFit="1" customWidth="1"/>
    <col min="4" max="4" width="10.453125" bestFit="1" customWidth="1"/>
    <col min="5" max="5" width="14.36328125" style="8" bestFit="1" customWidth="1"/>
    <col min="6" max="6" width="11.36328125" bestFit="1" customWidth="1"/>
    <col min="7" max="7" width="14.81640625" bestFit="1" customWidth="1"/>
    <col min="8" max="8" width="10.453125" bestFit="1" customWidth="1"/>
    <col min="9" max="9" width="14.36328125" bestFit="1" customWidth="1"/>
    <col min="10" max="11" width="11.1796875" bestFit="1" customWidth="1"/>
    <col min="12" max="12" width="10.453125" bestFit="1" customWidth="1"/>
  </cols>
  <sheetData>
    <row r="1" spans="1:12">
      <c r="A1" s="71" t="s">
        <v>77</v>
      </c>
      <c r="B1" s="466" t="s">
        <v>50</v>
      </c>
      <c r="C1" s="467"/>
      <c r="D1" s="468"/>
      <c r="E1" s="461" t="s">
        <v>51</v>
      </c>
      <c r="F1" s="462"/>
      <c r="G1" s="462"/>
      <c r="H1" s="463"/>
      <c r="I1" s="464" t="s">
        <v>57</v>
      </c>
      <c r="J1" s="464"/>
      <c r="K1" s="464"/>
      <c r="L1" s="465"/>
    </row>
    <row r="2" spans="1:12" ht="15" thickBot="1">
      <c r="A2" s="72" t="s">
        <v>74</v>
      </c>
      <c r="B2" s="24" t="s">
        <v>1</v>
      </c>
      <c r="C2" s="25" t="s">
        <v>15</v>
      </c>
      <c r="D2" s="26" t="s">
        <v>49</v>
      </c>
      <c r="E2" s="27" t="s">
        <v>1</v>
      </c>
      <c r="F2" s="28" t="s">
        <v>55</v>
      </c>
      <c r="G2" s="28" t="s">
        <v>15</v>
      </c>
      <c r="H2" s="29" t="s">
        <v>49</v>
      </c>
      <c r="I2" s="30" t="s">
        <v>1</v>
      </c>
      <c r="J2" s="30" t="s">
        <v>53</v>
      </c>
      <c r="K2" s="30" t="s">
        <v>15</v>
      </c>
      <c r="L2" s="31" t="s">
        <v>49</v>
      </c>
    </row>
    <row r="3" spans="1:12">
      <c r="A3" s="55" t="s">
        <v>68</v>
      </c>
      <c r="B3" s="298">
        <v>8.5</v>
      </c>
      <c r="C3" s="57">
        <v>8500000</v>
      </c>
      <c r="D3" s="58">
        <f>C3/$C$8</f>
        <v>0.85</v>
      </c>
      <c r="E3" s="300"/>
      <c r="F3" s="60"/>
      <c r="G3" s="57">
        <f>C3</f>
        <v>8500000</v>
      </c>
      <c r="H3" s="58">
        <f>G3/$G$8</f>
        <v>0.68</v>
      </c>
      <c r="I3" s="302" t="s">
        <v>54</v>
      </c>
      <c r="J3" s="60"/>
      <c r="K3" s="57">
        <f>G3+J3</f>
        <v>8500000</v>
      </c>
      <c r="L3" s="58">
        <f>K3/$K$8</f>
        <v>0.57227722772277223</v>
      </c>
    </row>
    <row r="4" spans="1:12">
      <c r="A4" s="55" t="s">
        <v>69</v>
      </c>
      <c r="B4" s="298"/>
      <c r="C4" s="57">
        <v>1500000</v>
      </c>
      <c r="D4" s="58">
        <f>C4/$C$8</f>
        <v>0.15</v>
      </c>
      <c r="E4" s="300"/>
      <c r="F4" s="60"/>
      <c r="G4" s="57">
        <f>C4</f>
        <v>1500000</v>
      </c>
      <c r="H4" s="58">
        <f>G4/$G$8</f>
        <v>0.12</v>
      </c>
      <c r="I4" s="302"/>
      <c r="J4" s="60"/>
      <c r="K4" s="57">
        <f>G4+J4</f>
        <v>1500000</v>
      </c>
      <c r="L4" s="58">
        <f>K4/$K$8</f>
        <v>0.10099009900990098</v>
      </c>
    </row>
    <row r="5" spans="1:12">
      <c r="A5" s="55" t="s">
        <v>70</v>
      </c>
      <c r="B5" s="298"/>
      <c r="C5" s="57"/>
      <c r="D5" s="59"/>
      <c r="E5" s="300">
        <v>2000000</v>
      </c>
      <c r="F5" s="57">
        <f>E5/E10</f>
        <v>1666666.6666666667</v>
      </c>
      <c r="G5" s="57">
        <f>F5</f>
        <v>1666666.6666666667</v>
      </c>
      <c r="H5" s="58">
        <f>G5/$G$8</f>
        <v>0.13333333333333333</v>
      </c>
      <c r="I5" s="302">
        <v>3000000</v>
      </c>
      <c r="J5" s="57">
        <f>I5/I10</f>
        <v>1764705.8823529412</v>
      </c>
      <c r="K5" s="57">
        <f>G5+J5</f>
        <v>3431372.5490196077</v>
      </c>
      <c r="L5" s="58">
        <f>K5/$K$8</f>
        <v>0.23102310231023102</v>
      </c>
    </row>
    <row r="6" spans="1:12">
      <c r="A6" s="55" t="s">
        <v>71</v>
      </c>
      <c r="B6" s="298"/>
      <c r="C6" s="57"/>
      <c r="D6" s="59"/>
      <c r="E6" s="300">
        <v>1000000</v>
      </c>
      <c r="F6" s="57">
        <f>E6/E10</f>
        <v>833333.33333333337</v>
      </c>
      <c r="G6" s="57">
        <f>F6</f>
        <v>833333.33333333337</v>
      </c>
      <c r="H6" s="58">
        <f>G6/G8</f>
        <v>6.6666666666666666E-2</v>
      </c>
      <c r="I6" s="302"/>
      <c r="J6" s="57"/>
      <c r="K6" s="57">
        <f>G6</f>
        <v>833333.33333333337</v>
      </c>
      <c r="L6" s="58">
        <f>K6/K8</f>
        <v>5.6105610561056105E-2</v>
      </c>
    </row>
    <row r="7" spans="1:12">
      <c r="A7" s="55" t="s">
        <v>72</v>
      </c>
      <c r="B7" s="298"/>
      <c r="C7" s="57"/>
      <c r="D7" s="59"/>
      <c r="E7" s="300"/>
      <c r="F7" s="57"/>
      <c r="G7" s="57"/>
      <c r="H7" s="58"/>
      <c r="I7" s="302">
        <v>1000000</v>
      </c>
      <c r="J7" s="57">
        <f>I7/I10</f>
        <v>588235.29411764711</v>
      </c>
      <c r="K7" s="57">
        <f>J7</f>
        <v>588235.29411764711</v>
      </c>
      <c r="L7" s="58">
        <f>K7/K8</f>
        <v>3.9603960396039604E-2</v>
      </c>
    </row>
    <row r="8" spans="1:12" ht="15" thickBot="1">
      <c r="A8" s="56" t="s">
        <v>52</v>
      </c>
      <c r="B8" s="310">
        <f>SUM(B3:B7)</f>
        <v>8.5</v>
      </c>
      <c r="C8" s="145">
        <f>SUM(C3:C5)</f>
        <v>10000000</v>
      </c>
      <c r="D8" s="146">
        <f>SUM(D3:D5)</f>
        <v>1</v>
      </c>
      <c r="E8" s="311">
        <f>SUM(E3:E6)</f>
        <v>3000000</v>
      </c>
      <c r="F8" s="147">
        <f>SUM(F3:F6)</f>
        <v>2500000</v>
      </c>
      <c r="G8" s="147">
        <f>C8+F8</f>
        <v>12500000</v>
      </c>
      <c r="H8" s="148">
        <f>SUM(H3:H6)</f>
        <v>1</v>
      </c>
      <c r="I8" s="312">
        <f>SUM(I3:I7)</f>
        <v>4000000</v>
      </c>
      <c r="J8" s="149">
        <f>SUM(J3:J7)</f>
        <v>2352941.1764705884</v>
      </c>
      <c r="K8" s="149">
        <f>SUM(K3:K7)</f>
        <v>14852941.176470589</v>
      </c>
      <c r="L8" s="150">
        <f>SUM(L3:L7)</f>
        <v>1</v>
      </c>
    </row>
    <row r="9" spans="1:12" ht="15" thickBot="1">
      <c r="E9"/>
    </row>
    <row r="10" spans="1:12">
      <c r="A10" s="66" t="s">
        <v>12</v>
      </c>
      <c r="B10" s="61"/>
      <c r="C10" s="61"/>
      <c r="D10" s="61"/>
      <c r="E10" s="313">
        <v>1.2</v>
      </c>
      <c r="F10" s="61"/>
      <c r="G10" s="61"/>
      <c r="H10" s="63"/>
      <c r="I10" s="314">
        <v>1.7</v>
      </c>
    </row>
    <row r="11" spans="1:12">
      <c r="A11" s="67" t="s">
        <v>11</v>
      </c>
      <c r="B11" s="60"/>
      <c r="C11" s="60"/>
      <c r="D11" s="60"/>
      <c r="E11" s="306">
        <f>E10*C8</f>
        <v>12000000</v>
      </c>
      <c r="F11" s="60"/>
      <c r="G11" s="60"/>
      <c r="H11" s="59"/>
      <c r="I11" s="281">
        <f>I10*G8</f>
        <v>21250000</v>
      </c>
    </row>
    <row r="12" spans="1:12" ht="15" thickBot="1">
      <c r="A12" s="68" t="s">
        <v>10</v>
      </c>
      <c r="B12" s="62"/>
      <c r="C12" s="62"/>
      <c r="D12" s="62"/>
      <c r="E12" s="307">
        <f>E10*G8</f>
        <v>15000000</v>
      </c>
      <c r="F12" s="62"/>
      <c r="G12" s="62"/>
      <c r="H12" s="64"/>
      <c r="I12" s="309">
        <f>I10*K8</f>
        <v>25250000</v>
      </c>
    </row>
    <row r="16" spans="1:12">
      <c r="A16" s="84" t="s">
        <v>73</v>
      </c>
      <c r="B16" s="7"/>
      <c r="D16" s="23"/>
    </row>
    <row r="17" spans="1:7">
      <c r="A17" t="s">
        <v>206</v>
      </c>
    </row>
    <row r="20" spans="1:7">
      <c r="G20" s="9"/>
    </row>
  </sheetData>
  <mergeCells count="3">
    <mergeCell ref="B1:D1"/>
    <mergeCell ref="E1:H1"/>
    <mergeCell ref="I1:L1"/>
  </mergeCells>
  <pageMargins left="0.7" right="0.7" top="0.75" bottom="0.75" header="0.3" footer="0.3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43E-D4A9-3045-8654-92F8210962EB}">
  <dimension ref="A1:J33"/>
  <sheetViews>
    <sheetView zoomScale="180" zoomScaleNormal="180" workbookViewId="0">
      <selection activeCell="C24" sqref="C24:H24"/>
    </sheetView>
  </sheetViews>
  <sheetFormatPr defaultColWidth="10.90625" defaultRowHeight="14.5"/>
  <cols>
    <col min="1" max="1" width="29.6328125" customWidth="1"/>
    <col min="2" max="3" width="6.36328125" customWidth="1"/>
    <col min="4" max="9" width="13.1796875" bestFit="1" customWidth="1"/>
  </cols>
  <sheetData>
    <row r="1" spans="1:10" ht="15.5">
      <c r="A1" s="21" t="s">
        <v>78</v>
      </c>
      <c r="B1" s="86"/>
      <c r="C1" s="86"/>
      <c r="D1" s="86"/>
      <c r="E1" s="86"/>
      <c r="F1" s="86"/>
      <c r="G1" s="86"/>
      <c r="I1" s="86"/>
      <c r="J1" s="86"/>
    </row>
    <row r="2" spans="1:10">
      <c r="A2" s="87" t="s">
        <v>80</v>
      </c>
      <c r="B2" s="113" t="s">
        <v>79</v>
      </c>
      <c r="C2" s="86"/>
      <c r="D2" s="86"/>
      <c r="E2" s="86"/>
      <c r="F2" s="86"/>
      <c r="G2" s="86"/>
      <c r="H2" s="86"/>
      <c r="I2" s="86"/>
      <c r="J2" s="86"/>
    </row>
    <row r="3" spans="1:10" ht="15" thickBot="1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5" thickBot="1">
      <c r="A4" s="88" t="s">
        <v>123</v>
      </c>
      <c r="B4" s="89"/>
      <c r="C4" s="89"/>
      <c r="D4" s="90" t="s">
        <v>81</v>
      </c>
      <c r="E4" s="90" t="s">
        <v>82</v>
      </c>
      <c r="F4" s="90" t="s">
        <v>83</v>
      </c>
      <c r="G4" s="90" t="s">
        <v>84</v>
      </c>
      <c r="H4" s="90" t="s">
        <v>85</v>
      </c>
      <c r="I4" s="91" t="s">
        <v>86</v>
      </c>
      <c r="J4" s="86"/>
    </row>
    <row r="5" spans="1:10">
      <c r="A5" s="92" t="s">
        <v>87</v>
      </c>
      <c r="B5" s="93">
        <v>1</v>
      </c>
      <c r="C5" s="94" t="s">
        <v>88</v>
      </c>
      <c r="D5" s="315">
        <v>25000000</v>
      </c>
      <c r="E5" s="316">
        <v>22500000</v>
      </c>
      <c r="F5" s="317">
        <v>25000000</v>
      </c>
      <c r="G5" s="318">
        <v>25000000</v>
      </c>
      <c r="H5" s="318">
        <v>25000000</v>
      </c>
      <c r="I5" s="319">
        <v>25000000</v>
      </c>
      <c r="J5" s="86"/>
    </row>
    <row r="6" spans="1:10">
      <c r="A6" s="95" t="s">
        <v>89</v>
      </c>
      <c r="B6" s="93">
        <v>2</v>
      </c>
      <c r="C6" s="94" t="s">
        <v>90</v>
      </c>
      <c r="D6" s="157">
        <v>4</v>
      </c>
      <c r="E6" s="97">
        <v>4</v>
      </c>
      <c r="F6" s="98">
        <v>4.4000000000000004</v>
      </c>
      <c r="G6" s="99">
        <v>4</v>
      </c>
      <c r="H6" s="96">
        <v>4</v>
      </c>
      <c r="I6" s="100">
        <v>4</v>
      </c>
      <c r="J6" s="86"/>
    </row>
    <row r="7" spans="1:10">
      <c r="A7" s="95" t="s">
        <v>3</v>
      </c>
      <c r="B7" s="93">
        <v>3</v>
      </c>
      <c r="C7" s="94" t="s">
        <v>91</v>
      </c>
      <c r="D7" s="158">
        <v>0.5</v>
      </c>
      <c r="E7" s="101">
        <v>0.5</v>
      </c>
      <c r="F7" s="102">
        <v>0.5</v>
      </c>
      <c r="G7" s="103">
        <v>0.6</v>
      </c>
      <c r="H7" s="104">
        <v>0.5</v>
      </c>
      <c r="I7" s="105">
        <v>0.5</v>
      </c>
      <c r="J7" s="86"/>
    </row>
    <row r="8" spans="1:10">
      <c r="A8" s="95" t="s">
        <v>92</v>
      </c>
      <c r="B8" s="93">
        <v>4</v>
      </c>
      <c r="C8" s="94" t="s">
        <v>93</v>
      </c>
      <c r="D8" s="320">
        <v>3000000</v>
      </c>
      <c r="E8" s="318">
        <v>3000000</v>
      </c>
      <c r="F8" s="318">
        <v>3000000</v>
      </c>
      <c r="G8" s="321">
        <v>3000000</v>
      </c>
      <c r="H8" s="322">
        <v>3300000</v>
      </c>
      <c r="I8" s="323">
        <v>3000000</v>
      </c>
      <c r="J8" s="86"/>
    </row>
    <row r="9" spans="1:10">
      <c r="A9" s="151" t="s">
        <v>94</v>
      </c>
      <c r="B9" s="152">
        <v>5</v>
      </c>
      <c r="C9" s="153" t="s">
        <v>95</v>
      </c>
      <c r="D9" s="159">
        <v>1000000</v>
      </c>
      <c r="E9" s="154">
        <v>1000000</v>
      </c>
      <c r="F9" s="154">
        <v>1000000</v>
      </c>
      <c r="G9" s="154">
        <v>1000000</v>
      </c>
      <c r="H9" s="155">
        <v>1000000</v>
      </c>
      <c r="I9" s="156">
        <v>2000000</v>
      </c>
      <c r="J9" s="86"/>
    </row>
    <row r="10" spans="1:10">
      <c r="A10" s="95" t="s">
        <v>96</v>
      </c>
      <c r="B10" s="93">
        <v>6</v>
      </c>
      <c r="C10" s="94" t="s">
        <v>97</v>
      </c>
      <c r="D10" s="324">
        <f t="shared" ref="D10:I10" si="0">D5/(1+D7)^D6</f>
        <v>4938271.6049382715</v>
      </c>
      <c r="E10" s="325">
        <f t="shared" si="0"/>
        <v>4444444.444444444</v>
      </c>
      <c r="F10" s="325">
        <f t="shared" si="0"/>
        <v>4198928.3971219445</v>
      </c>
      <c r="G10" s="325">
        <f t="shared" si="0"/>
        <v>3814697.2656249981</v>
      </c>
      <c r="H10" s="325">
        <f t="shared" si="0"/>
        <v>4938271.6049382715</v>
      </c>
      <c r="I10" s="326">
        <f t="shared" si="0"/>
        <v>4938271.6049382715</v>
      </c>
      <c r="J10" s="86"/>
    </row>
    <row r="11" spans="1:10">
      <c r="A11" s="95" t="s">
        <v>98</v>
      </c>
      <c r="B11" s="93">
        <v>7</v>
      </c>
      <c r="C11" s="94" t="s">
        <v>99</v>
      </c>
      <c r="D11" s="324">
        <f t="shared" ref="D11:I11" si="1">D10-D8</f>
        <v>1938271.6049382715</v>
      </c>
      <c r="E11" s="325">
        <f t="shared" si="1"/>
        <v>1444444.444444444</v>
      </c>
      <c r="F11" s="325">
        <f t="shared" si="1"/>
        <v>1198928.3971219445</v>
      </c>
      <c r="G11" s="325">
        <f t="shared" si="1"/>
        <v>814697.26562499814</v>
      </c>
      <c r="H11" s="325">
        <f t="shared" si="1"/>
        <v>1638271.6049382715</v>
      </c>
      <c r="I11" s="326">
        <f t="shared" si="1"/>
        <v>1938271.6049382715</v>
      </c>
      <c r="J11" s="86"/>
    </row>
    <row r="12" spans="1:10">
      <c r="A12" s="269" t="s">
        <v>100</v>
      </c>
      <c r="B12" s="270">
        <v>8</v>
      </c>
      <c r="C12" s="271" t="s">
        <v>101</v>
      </c>
      <c r="D12" s="272">
        <f t="shared" ref="D12:I12" si="2">D8/D10</f>
        <v>0.60750000000000004</v>
      </c>
      <c r="E12" s="273">
        <f t="shared" si="2"/>
        <v>0.67500000000000004</v>
      </c>
      <c r="F12" s="273">
        <f t="shared" si="2"/>
        <v>0.71446800618373929</v>
      </c>
      <c r="G12" s="273">
        <f t="shared" si="2"/>
        <v>0.78643200000000035</v>
      </c>
      <c r="H12" s="273">
        <f t="shared" si="2"/>
        <v>0.66825000000000001</v>
      </c>
      <c r="I12" s="274">
        <f t="shared" si="2"/>
        <v>0.60750000000000004</v>
      </c>
      <c r="J12" s="86"/>
    </row>
    <row r="13" spans="1:10">
      <c r="A13" s="151" t="s">
        <v>102</v>
      </c>
      <c r="B13" s="275"/>
      <c r="C13" s="153" t="s">
        <v>103</v>
      </c>
      <c r="D13" s="276">
        <f t="shared" ref="D13:I13" si="3">1-D12</f>
        <v>0.39249999999999996</v>
      </c>
      <c r="E13" s="277">
        <f t="shared" si="3"/>
        <v>0.32499999999999996</v>
      </c>
      <c r="F13" s="277">
        <f t="shared" si="3"/>
        <v>0.28553199381626071</v>
      </c>
      <c r="G13" s="277">
        <f t="shared" si="3"/>
        <v>0.21356799999999965</v>
      </c>
      <c r="H13" s="277">
        <f t="shared" si="3"/>
        <v>0.33174999999999999</v>
      </c>
      <c r="I13" s="278">
        <f t="shared" si="3"/>
        <v>0.39249999999999996</v>
      </c>
      <c r="J13" s="86"/>
    </row>
    <row r="14" spans="1:10">
      <c r="A14" s="95" t="s">
        <v>104</v>
      </c>
      <c r="B14" s="93">
        <v>9</v>
      </c>
      <c r="C14" s="94" t="s">
        <v>105</v>
      </c>
      <c r="D14" s="160">
        <f t="shared" ref="D14:I14" si="4">D9*(D12/(1-D12))</f>
        <v>1547770.7006369431</v>
      </c>
      <c r="E14" s="106">
        <f t="shared" si="4"/>
        <v>2076923.0769230775</v>
      </c>
      <c r="F14" s="106">
        <f t="shared" si="4"/>
        <v>2502234.5014110683</v>
      </c>
      <c r="G14" s="106">
        <f t="shared" si="4"/>
        <v>3682349.4156428003</v>
      </c>
      <c r="H14" s="106">
        <f t="shared" si="4"/>
        <v>2014318.0105501132</v>
      </c>
      <c r="I14" s="107">
        <f t="shared" si="4"/>
        <v>3095541.4012738862</v>
      </c>
      <c r="J14" s="86"/>
    </row>
    <row r="15" spans="1:10">
      <c r="A15" s="151" t="s">
        <v>12</v>
      </c>
      <c r="B15" s="152">
        <v>10</v>
      </c>
      <c r="C15" s="153" t="s">
        <v>106</v>
      </c>
      <c r="D15" s="161">
        <f t="shared" ref="D15:I15" si="5">D8/D14</f>
        <v>1.9382716049382711</v>
      </c>
      <c r="E15" s="162">
        <f t="shared" si="5"/>
        <v>1.444444444444444</v>
      </c>
      <c r="F15" s="162">
        <f t="shared" si="5"/>
        <v>1.1989283971219444</v>
      </c>
      <c r="G15" s="162">
        <f t="shared" si="5"/>
        <v>0.81469726562499833</v>
      </c>
      <c r="H15" s="162">
        <f t="shared" si="5"/>
        <v>1.6382716049382715</v>
      </c>
      <c r="I15" s="163">
        <f t="shared" si="5"/>
        <v>0.96913580246913555</v>
      </c>
      <c r="J15" s="86"/>
    </row>
    <row r="16" spans="1:10">
      <c r="A16" s="95" t="s">
        <v>107</v>
      </c>
      <c r="B16" s="86"/>
      <c r="C16" s="86"/>
      <c r="D16" s="324">
        <f t="shared" ref="D16:I16" si="6">D5*D12</f>
        <v>15187500.000000002</v>
      </c>
      <c r="E16" s="325">
        <f t="shared" si="6"/>
        <v>15187500.000000002</v>
      </c>
      <c r="F16" s="325">
        <f t="shared" si="6"/>
        <v>17861700.154593483</v>
      </c>
      <c r="G16" s="325">
        <f t="shared" si="6"/>
        <v>19660800.000000007</v>
      </c>
      <c r="H16" s="325">
        <f t="shared" si="6"/>
        <v>16706250</v>
      </c>
      <c r="I16" s="326">
        <f t="shared" si="6"/>
        <v>15187500.000000002</v>
      </c>
      <c r="J16" s="86"/>
    </row>
    <row r="17" spans="1:10">
      <c r="A17" s="95" t="s">
        <v>108</v>
      </c>
      <c r="B17" s="86"/>
      <c r="C17" s="86"/>
      <c r="D17" s="324">
        <f t="shared" ref="D17:I17" si="7">D5*D13</f>
        <v>9812499.9999999981</v>
      </c>
      <c r="E17" s="325">
        <f t="shared" si="7"/>
        <v>7312499.9999999991</v>
      </c>
      <c r="F17" s="325">
        <f t="shared" si="7"/>
        <v>7138299.8454065174</v>
      </c>
      <c r="G17" s="325">
        <f t="shared" si="7"/>
        <v>5339199.9999999916</v>
      </c>
      <c r="H17" s="325">
        <f t="shared" si="7"/>
        <v>8293750</v>
      </c>
      <c r="I17" s="326">
        <f t="shared" si="7"/>
        <v>9812499.9999999981</v>
      </c>
      <c r="J17" s="86"/>
    </row>
    <row r="18" spans="1:10">
      <c r="A18" s="95" t="s">
        <v>109</v>
      </c>
      <c r="B18" s="86"/>
      <c r="C18" s="86"/>
      <c r="D18" s="324">
        <f t="shared" ref="D18:I18" si="8">D8</f>
        <v>3000000</v>
      </c>
      <c r="E18" s="325">
        <f t="shared" si="8"/>
        <v>3000000</v>
      </c>
      <c r="F18" s="325">
        <f t="shared" si="8"/>
        <v>3000000</v>
      </c>
      <c r="G18" s="325">
        <f t="shared" si="8"/>
        <v>3000000</v>
      </c>
      <c r="H18" s="325">
        <f t="shared" si="8"/>
        <v>3300000</v>
      </c>
      <c r="I18" s="326">
        <f t="shared" si="8"/>
        <v>3000000</v>
      </c>
      <c r="J18" s="86"/>
    </row>
    <row r="19" spans="1:10" ht="15" thickBot="1">
      <c r="A19" s="108" t="s">
        <v>110</v>
      </c>
      <c r="B19" s="109"/>
      <c r="C19" s="109"/>
      <c r="D19" s="327">
        <f t="shared" ref="D19:I19" si="9">D10-D18</f>
        <v>1938271.6049382715</v>
      </c>
      <c r="E19" s="328">
        <f t="shared" si="9"/>
        <v>1444444.444444444</v>
      </c>
      <c r="F19" s="328">
        <f t="shared" si="9"/>
        <v>1198928.3971219445</v>
      </c>
      <c r="G19" s="328">
        <f t="shared" si="9"/>
        <v>814697.26562499814</v>
      </c>
      <c r="H19" s="328">
        <f t="shared" si="9"/>
        <v>1638271.6049382715</v>
      </c>
      <c r="I19" s="329">
        <f t="shared" si="9"/>
        <v>1938271.6049382715</v>
      </c>
      <c r="J19" s="86"/>
    </row>
    <row r="20" spans="1:10">
      <c r="A20" s="86"/>
      <c r="B20" s="86"/>
      <c r="C20" s="86"/>
      <c r="D20" s="86"/>
      <c r="E20" s="86"/>
      <c r="F20" s="86"/>
      <c r="G20" s="86"/>
      <c r="H20" s="86"/>
      <c r="I20" s="86"/>
      <c r="J20" s="86"/>
    </row>
    <row r="21" spans="1:10">
      <c r="A21" s="86"/>
      <c r="B21" s="86"/>
      <c r="C21" s="110" t="s">
        <v>111</v>
      </c>
      <c r="D21" s="86"/>
      <c r="E21" s="86"/>
      <c r="F21" s="86"/>
      <c r="G21" s="86"/>
      <c r="H21" s="86"/>
      <c r="I21" s="86"/>
      <c r="J21" s="86"/>
    </row>
    <row r="22" spans="1:10">
      <c r="A22" s="86"/>
      <c r="B22" s="93">
        <v>1</v>
      </c>
      <c r="C22" s="469" t="s">
        <v>112</v>
      </c>
      <c r="D22" s="457"/>
      <c r="E22" s="457"/>
      <c r="F22" s="457"/>
      <c r="G22" s="457"/>
      <c r="H22" s="457"/>
      <c r="I22" s="86"/>
      <c r="J22" s="86"/>
    </row>
    <row r="23" spans="1:10">
      <c r="A23" s="86"/>
      <c r="B23" s="93">
        <v>2</v>
      </c>
      <c r="C23" s="469" t="s">
        <v>113</v>
      </c>
      <c r="D23" s="457"/>
      <c r="E23" s="457"/>
      <c r="F23" s="457"/>
      <c r="G23" s="457"/>
      <c r="H23" s="457"/>
      <c r="I23" s="86"/>
      <c r="J23" s="86"/>
    </row>
    <row r="24" spans="1:10">
      <c r="A24" s="86"/>
      <c r="B24" s="93">
        <v>3</v>
      </c>
      <c r="C24" s="469" t="s">
        <v>114</v>
      </c>
      <c r="D24" s="457"/>
      <c r="E24" s="457"/>
      <c r="F24" s="457"/>
      <c r="G24" s="457"/>
      <c r="H24" s="457"/>
      <c r="I24" s="86"/>
      <c r="J24" s="86"/>
    </row>
    <row r="25" spans="1:10">
      <c r="A25" s="86"/>
      <c r="B25" s="93">
        <v>4</v>
      </c>
      <c r="C25" s="469" t="s">
        <v>115</v>
      </c>
      <c r="D25" s="457"/>
      <c r="E25" s="457"/>
      <c r="F25" s="457"/>
      <c r="G25" s="457"/>
      <c r="H25" s="457"/>
      <c r="I25" s="86"/>
      <c r="J25" s="86"/>
    </row>
    <row r="26" spans="1:10">
      <c r="A26" s="86"/>
      <c r="B26" s="93">
        <v>5</v>
      </c>
      <c r="C26" s="469" t="s">
        <v>116</v>
      </c>
      <c r="D26" s="457"/>
      <c r="E26" s="457"/>
      <c r="F26" s="457"/>
      <c r="G26" s="457"/>
      <c r="H26" s="457"/>
      <c r="I26" s="86"/>
      <c r="J26" s="86"/>
    </row>
    <row r="27" spans="1:10">
      <c r="A27" s="86"/>
      <c r="B27" s="93">
        <v>6</v>
      </c>
      <c r="C27" s="469" t="s">
        <v>117</v>
      </c>
      <c r="D27" s="457"/>
      <c r="E27" s="457"/>
      <c r="F27" s="457"/>
      <c r="G27" s="457"/>
      <c r="H27" s="457"/>
      <c r="I27" s="86"/>
      <c r="J27" s="86"/>
    </row>
    <row r="28" spans="1:10">
      <c r="A28" s="86"/>
      <c r="B28" s="93">
        <v>7</v>
      </c>
      <c r="C28" s="469" t="s">
        <v>118</v>
      </c>
      <c r="D28" s="457"/>
      <c r="E28" s="457"/>
      <c r="F28" s="457"/>
      <c r="G28" s="457"/>
      <c r="H28" s="457"/>
      <c r="I28" s="86"/>
      <c r="J28" s="86"/>
    </row>
    <row r="29" spans="1:10">
      <c r="A29" s="86"/>
      <c r="B29" s="93">
        <v>8</v>
      </c>
      <c r="C29" s="469" t="s">
        <v>119</v>
      </c>
      <c r="D29" s="457"/>
      <c r="E29" s="457"/>
      <c r="F29" s="457"/>
      <c r="G29" s="457"/>
      <c r="H29" s="457"/>
      <c r="I29" s="86"/>
      <c r="J29" s="86"/>
    </row>
    <row r="30" spans="1:10">
      <c r="A30" s="86"/>
      <c r="B30" s="112">
        <v>9</v>
      </c>
      <c r="C30" s="470" t="s">
        <v>120</v>
      </c>
      <c r="D30" s="457"/>
      <c r="E30" s="457"/>
      <c r="F30" s="457"/>
      <c r="G30" s="457"/>
      <c r="H30" s="457"/>
      <c r="I30" s="86"/>
      <c r="J30" s="86"/>
    </row>
    <row r="31" spans="1:10">
      <c r="A31" s="86"/>
      <c r="B31" s="93">
        <v>10</v>
      </c>
      <c r="C31" s="469" t="s">
        <v>121</v>
      </c>
      <c r="D31" s="457"/>
      <c r="E31" s="457"/>
      <c r="F31" s="457"/>
      <c r="G31" s="457"/>
      <c r="H31" s="457"/>
      <c r="I31" s="86"/>
      <c r="J31" s="86"/>
    </row>
    <row r="32" spans="1:10">
      <c r="A32" s="127" t="s">
        <v>125</v>
      </c>
      <c r="B32" s="93"/>
      <c r="C32" s="111"/>
      <c r="D32" s="86"/>
      <c r="E32" s="86"/>
      <c r="F32" s="86"/>
      <c r="G32" s="86"/>
      <c r="H32" s="86"/>
      <c r="I32" s="86"/>
      <c r="J32" s="86"/>
    </row>
    <row r="33" spans="1:10">
      <c r="A33" s="86"/>
      <c r="B33" s="86"/>
      <c r="C33" s="86"/>
      <c r="D33" s="86"/>
      <c r="E33" s="86"/>
      <c r="F33" s="86"/>
      <c r="G33" s="86"/>
      <c r="H33" s="86"/>
      <c r="I33" s="86"/>
      <c r="J33" s="86"/>
    </row>
  </sheetData>
  <mergeCells count="10">
    <mergeCell ref="C28:H28"/>
    <mergeCell ref="C29:H29"/>
    <mergeCell ref="C30:H30"/>
    <mergeCell ref="C31:H31"/>
    <mergeCell ref="C22:H22"/>
    <mergeCell ref="C23:H23"/>
    <mergeCell ref="C24:H24"/>
    <mergeCell ref="C25:H25"/>
    <mergeCell ref="C26:H26"/>
    <mergeCell ref="C27:H27"/>
  </mergeCells>
  <hyperlinks>
    <hyperlink ref="A2" r:id="rId1" xr:uid="{3D6EC33D-0A0E-B348-910D-26B64010AF89}"/>
  </hyperlinks>
  <pageMargins left="0.7" right="0.7" top="0.75" bottom="0.75" header="0.3" footer="0.3"/>
  <pageSetup paperSize="9" orientation="portrait" horizontalDpi="0" verticalDpi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E7B9-B545-6048-A174-0EBA57FB946C}">
  <dimension ref="A2:K68"/>
  <sheetViews>
    <sheetView tabSelected="1" topLeftCell="A35" zoomScale="130" zoomScaleNormal="130" workbookViewId="0">
      <selection activeCell="I10" sqref="I10"/>
    </sheetView>
  </sheetViews>
  <sheetFormatPr defaultColWidth="10.90625" defaultRowHeight="14.5"/>
  <cols>
    <col min="1" max="1" width="3.1796875" customWidth="1"/>
    <col min="2" max="2" width="34.1796875" customWidth="1"/>
    <col min="3" max="3" width="14.6328125" bestFit="1" customWidth="1"/>
    <col min="4" max="6" width="13.6328125" bestFit="1" customWidth="1"/>
    <col min="7" max="7" width="17" customWidth="1"/>
    <col min="8" max="8" width="14.6328125" bestFit="1" customWidth="1"/>
    <col min="9" max="9" width="14.81640625" bestFit="1" customWidth="1"/>
    <col min="11" max="11" width="14.6328125" bestFit="1" customWidth="1"/>
  </cols>
  <sheetData>
    <row r="2" spans="1:11" ht="26">
      <c r="A2" s="265" t="s">
        <v>199</v>
      </c>
      <c r="B2" s="264"/>
    </row>
    <row r="3" spans="1:11" ht="15" thickBot="1"/>
    <row r="4" spans="1:11" ht="21.5" thickBot="1">
      <c r="B4" s="474" t="s">
        <v>163</v>
      </c>
      <c r="C4" s="475"/>
      <c r="D4" s="475"/>
      <c r="E4" s="475"/>
      <c r="F4" s="475"/>
      <c r="G4" s="475"/>
      <c r="H4" s="475"/>
      <c r="I4" s="476"/>
    </row>
    <row r="5" spans="1:11">
      <c r="B5" s="203" t="s">
        <v>213</v>
      </c>
      <c r="C5" s="60"/>
      <c r="D5" s="60"/>
      <c r="E5" s="60"/>
      <c r="F5" s="60"/>
      <c r="G5" s="204" t="s">
        <v>209</v>
      </c>
      <c r="H5" s="342"/>
      <c r="I5" s="261">
        <v>5000000</v>
      </c>
      <c r="K5" s="205"/>
    </row>
    <row r="6" spans="1:11">
      <c r="B6" s="203" t="s">
        <v>164</v>
      </c>
      <c r="C6" s="60"/>
      <c r="D6" s="60"/>
      <c r="E6" s="60"/>
      <c r="F6" s="60"/>
      <c r="G6" s="206" t="s">
        <v>210</v>
      </c>
      <c r="H6" s="344"/>
      <c r="I6" s="262">
        <v>15000000</v>
      </c>
    </row>
    <row r="7" spans="1:11">
      <c r="B7" s="203" t="s">
        <v>165</v>
      </c>
      <c r="C7" s="60"/>
      <c r="D7" s="60"/>
      <c r="E7" s="60"/>
      <c r="F7" s="60"/>
      <c r="G7" s="207" t="s">
        <v>6</v>
      </c>
      <c r="H7" s="343">
        <f>I7/I13</f>
        <v>0.6</v>
      </c>
      <c r="I7" s="263">
        <v>6000000</v>
      </c>
    </row>
    <row r="8" spans="1:11">
      <c r="B8" s="203" t="s">
        <v>166</v>
      </c>
      <c r="C8" s="60"/>
      <c r="D8" s="60"/>
      <c r="E8" s="60"/>
      <c r="F8" s="60"/>
      <c r="G8" s="207" t="s">
        <v>215</v>
      </c>
      <c r="H8" s="361">
        <f>I8/I13</f>
        <v>0.15</v>
      </c>
      <c r="I8" s="346">
        <v>1500000</v>
      </c>
    </row>
    <row r="9" spans="1:11">
      <c r="B9" s="203" t="s">
        <v>205</v>
      </c>
      <c r="C9" s="60"/>
      <c r="D9" s="60"/>
      <c r="E9" s="60"/>
      <c r="F9" s="60"/>
      <c r="G9" s="206" t="s">
        <v>216</v>
      </c>
      <c r="H9" s="347">
        <f>I9/I13</f>
        <v>0.75</v>
      </c>
      <c r="I9" s="345">
        <f>I7+I8</f>
        <v>7500000</v>
      </c>
      <c r="K9" s="362"/>
    </row>
    <row r="10" spans="1:11">
      <c r="B10" s="209" t="s">
        <v>200</v>
      </c>
      <c r="C10" s="60"/>
      <c r="D10" s="60"/>
      <c r="E10" s="60"/>
      <c r="F10" s="60"/>
      <c r="G10" s="207" t="s">
        <v>211</v>
      </c>
      <c r="H10" s="208"/>
      <c r="I10" s="345">
        <f>I5+I6</f>
        <v>20000000</v>
      </c>
    </row>
    <row r="11" spans="1:11">
      <c r="B11" s="203"/>
      <c r="C11" s="60"/>
      <c r="D11" s="60"/>
      <c r="E11" s="60"/>
      <c r="F11" s="60"/>
      <c r="G11" s="207" t="s">
        <v>212</v>
      </c>
      <c r="H11" s="208"/>
      <c r="I11" s="339">
        <f>I6/I9</f>
        <v>2</v>
      </c>
    </row>
    <row r="12" spans="1:11" ht="15" thickBot="1">
      <c r="B12" s="203"/>
      <c r="C12" s="60"/>
      <c r="D12" s="60"/>
      <c r="E12" s="60"/>
      <c r="F12" s="60"/>
      <c r="G12" s="207" t="s">
        <v>167</v>
      </c>
      <c r="H12" s="343">
        <f>I12/I13</f>
        <v>0.25</v>
      </c>
      <c r="I12" s="341">
        <f>I5/I11</f>
        <v>2500000</v>
      </c>
    </row>
    <row r="13" spans="1:11" ht="15" thickBot="1">
      <c r="B13" s="212" t="s">
        <v>168</v>
      </c>
      <c r="C13" s="213" t="s">
        <v>169</v>
      </c>
      <c r="D13" s="214" t="s">
        <v>170</v>
      </c>
      <c r="E13" s="60"/>
      <c r="F13" s="60"/>
      <c r="G13" s="210" t="s">
        <v>15</v>
      </c>
      <c r="H13" s="211"/>
      <c r="I13" s="340">
        <f>I7+I8+I12</f>
        <v>10000000</v>
      </c>
    </row>
    <row r="14" spans="1:11">
      <c r="B14" s="216" t="s">
        <v>172</v>
      </c>
      <c r="C14" s="217">
        <f>I12</f>
        <v>2500000</v>
      </c>
      <c r="D14" s="218">
        <f>I5/I10</f>
        <v>0.25</v>
      </c>
      <c r="E14" s="60"/>
      <c r="F14" s="60"/>
      <c r="G14" s="60"/>
      <c r="H14" s="60"/>
      <c r="I14" s="59"/>
    </row>
    <row r="15" spans="1:11" ht="15" thickBot="1">
      <c r="B15" s="221" t="s">
        <v>174</v>
      </c>
      <c r="C15" s="222">
        <f>I7</f>
        <v>6000000</v>
      </c>
      <c r="D15" s="223">
        <f>D16-D14</f>
        <v>0.75</v>
      </c>
      <c r="E15" s="60"/>
      <c r="F15" s="60"/>
      <c r="G15" s="60"/>
      <c r="H15" s="60"/>
      <c r="I15" s="59"/>
    </row>
    <row r="16" spans="1:11" ht="15" thickBot="1">
      <c r="B16" s="224" t="s">
        <v>175</v>
      </c>
      <c r="C16" s="225">
        <f>SUM(C14:C15)</f>
        <v>8500000</v>
      </c>
      <c r="D16" s="226">
        <v>1</v>
      </c>
      <c r="E16" s="60"/>
      <c r="F16" s="60"/>
      <c r="G16" s="215" t="s">
        <v>171</v>
      </c>
      <c r="H16" s="63"/>
      <c r="I16" s="59"/>
    </row>
    <row r="17" spans="1:9" ht="15" thickBot="1">
      <c r="B17" s="203"/>
      <c r="C17" s="60"/>
      <c r="D17" s="60"/>
      <c r="E17" s="60"/>
      <c r="F17" s="60"/>
      <c r="G17" s="219" t="s">
        <v>173</v>
      </c>
      <c r="H17" s="220"/>
      <c r="I17" s="59"/>
    </row>
    <row r="18" spans="1:9" ht="15" thickBot="1">
      <c r="B18" s="227"/>
      <c r="C18" s="62"/>
      <c r="D18" s="62"/>
      <c r="E18" s="62"/>
      <c r="F18" s="228"/>
      <c r="G18" s="62"/>
      <c r="H18" s="62"/>
      <c r="I18" s="64"/>
    </row>
    <row r="20" spans="1:9" ht="15" thickBot="1"/>
    <row r="21" spans="1:9" ht="21">
      <c r="A21" s="477" t="s">
        <v>176</v>
      </c>
      <c r="B21" s="478"/>
      <c r="C21" s="478"/>
      <c r="D21" s="478"/>
      <c r="E21" s="478"/>
      <c r="F21" s="478"/>
      <c r="G21" s="478"/>
      <c r="H21" s="478"/>
      <c r="I21" s="479"/>
    </row>
    <row r="22" spans="1:9">
      <c r="A22" s="229"/>
      <c r="B22" s="230"/>
      <c r="C22" s="230"/>
      <c r="D22" s="230"/>
      <c r="E22" s="230"/>
      <c r="F22" s="230"/>
      <c r="G22" s="230"/>
      <c r="H22" s="230"/>
      <c r="I22" s="231"/>
    </row>
    <row r="23" spans="1:9">
      <c r="A23" s="229"/>
      <c r="B23" s="232" t="s">
        <v>177</v>
      </c>
      <c r="C23" s="230"/>
      <c r="D23" s="230"/>
      <c r="E23" s="230"/>
      <c r="F23" s="230"/>
      <c r="G23" s="230"/>
      <c r="H23" s="230"/>
      <c r="I23" s="231"/>
    </row>
    <row r="24" spans="1:9">
      <c r="A24" s="229"/>
      <c r="B24" s="232" t="s">
        <v>197</v>
      </c>
      <c r="C24" s="230"/>
      <c r="D24" s="230"/>
      <c r="E24" s="230"/>
      <c r="F24" s="230"/>
      <c r="G24" s="230"/>
      <c r="H24" s="230"/>
      <c r="I24" s="231"/>
    </row>
    <row r="25" spans="1:9" ht="15" thickBot="1">
      <c r="A25" s="229"/>
      <c r="B25" s="230"/>
      <c r="C25" s="230"/>
      <c r="D25" s="230"/>
      <c r="E25" s="230"/>
      <c r="F25" s="230"/>
      <c r="G25" s="230"/>
      <c r="H25" s="230"/>
      <c r="I25" s="231"/>
    </row>
    <row r="26" spans="1:9">
      <c r="A26" s="229"/>
      <c r="B26" s="233"/>
      <c r="C26" s="480" t="s">
        <v>214</v>
      </c>
      <c r="D26" s="472"/>
      <c r="E26" s="472"/>
      <c r="F26" s="472"/>
      <c r="G26" s="472"/>
      <c r="H26" s="472"/>
      <c r="I26" s="473"/>
    </row>
    <row r="27" spans="1:9" ht="15" thickBot="1">
      <c r="A27" s="229"/>
      <c r="B27" s="259" t="s">
        <v>194</v>
      </c>
      <c r="C27" s="234">
        <v>5000000</v>
      </c>
      <c r="D27" s="235">
        <v>10000000</v>
      </c>
      <c r="E27" s="235">
        <v>15000000</v>
      </c>
      <c r="F27" s="235">
        <v>20000000</v>
      </c>
      <c r="G27" s="235">
        <v>50000000</v>
      </c>
      <c r="H27" s="235">
        <v>100000000</v>
      </c>
      <c r="I27" s="236">
        <v>150000000</v>
      </c>
    </row>
    <row r="28" spans="1:9">
      <c r="A28" s="229"/>
      <c r="B28" s="237" t="s">
        <v>178</v>
      </c>
      <c r="C28" s="348">
        <f t="shared" ref="C28:I29" si="0">C$27*$D14</f>
        <v>1250000</v>
      </c>
      <c r="D28" s="348">
        <f t="shared" si="0"/>
        <v>2500000</v>
      </c>
      <c r="E28" s="348">
        <f t="shared" si="0"/>
        <v>3750000</v>
      </c>
      <c r="F28" s="348">
        <f t="shared" si="0"/>
        <v>5000000</v>
      </c>
      <c r="G28" s="348">
        <f t="shared" si="0"/>
        <v>12500000</v>
      </c>
      <c r="H28" s="348">
        <f t="shared" si="0"/>
        <v>25000000</v>
      </c>
      <c r="I28" s="349">
        <f t="shared" si="0"/>
        <v>37500000</v>
      </c>
    </row>
    <row r="29" spans="1:9" ht="15" thickBot="1">
      <c r="A29" s="229"/>
      <c r="B29" s="238" t="s">
        <v>179</v>
      </c>
      <c r="C29" s="350">
        <f t="shared" si="0"/>
        <v>3750000</v>
      </c>
      <c r="D29" s="350">
        <f t="shared" si="0"/>
        <v>7500000</v>
      </c>
      <c r="E29" s="350">
        <f t="shared" si="0"/>
        <v>11250000</v>
      </c>
      <c r="F29" s="350">
        <f t="shared" si="0"/>
        <v>15000000</v>
      </c>
      <c r="G29" s="350">
        <f t="shared" si="0"/>
        <v>37500000</v>
      </c>
      <c r="H29" s="350">
        <f t="shared" si="0"/>
        <v>75000000</v>
      </c>
      <c r="I29" s="351">
        <f t="shared" si="0"/>
        <v>112500000</v>
      </c>
    </row>
    <row r="30" spans="1:9" ht="15" thickBot="1">
      <c r="A30" s="239"/>
      <c r="B30" s="240" t="s">
        <v>180</v>
      </c>
      <c r="C30" s="241" t="str">
        <f t="shared" ref="C30:I30" si="1">IF(SUM(C28:C29)=C27,"-","error")</f>
        <v>-</v>
      </c>
      <c r="D30" s="241" t="str">
        <f t="shared" si="1"/>
        <v>-</v>
      </c>
      <c r="E30" s="241" t="str">
        <f t="shared" si="1"/>
        <v>-</v>
      </c>
      <c r="F30" s="241" t="str">
        <f t="shared" si="1"/>
        <v>-</v>
      </c>
      <c r="G30" s="241" t="str">
        <f t="shared" si="1"/>
        <v>-</v>
      </c>
      <c r="H30" s="241" t="str">
        <f t="shared" si="1"/>
        <v>-</v>
      </c>
      <c r="I30" s="242" t="str">
        <f t="shared" si="1"/>
        <v>-</v>
      </c>
    </row>
    <row r="32" spans="1:9" ht="15" thickBot="1"/>
    <row r="33" spans="1:9" ht="21">
      <c r="A33" s="477" t="s">
        <v>195</v>
      </c>
      <c r="B33" s="478"/>
      <c r="C33" s="478"/>
      <c r="D33" s="478"/>
      <c r="E33" s="478"/>
      <c r="F33" s="478"/>
      <c r="G33" s="478"/>
      <c r="H33" s="478"/>
      <c r="I33" s="479"/>
    </row>
    <row r="34" spans="1:9">
      <c r="A34" s="229"/>
      <c r="B34" s="230"/>
      <c r="C34" s="230"/>
      <c r="D34" s="230"/>
      <c r="E34" s="230"/>
      <c r="F34" s="230"/>
      <c r="G34" s="230"/>
      <c r="H34" s="230"/>
      <c r="I34" s="231"/>
    </row>
    <row r="35" spans="1:9">
      <c r="A35" s="229"/>
      <c r="B35" s="232" t="s">
        <v>181</v>
      </c>
      <c r="C35" s="230"/>
      <c r="D35" s="230"/>
      <c r="E35" s="230"/>
      <c r="F35" s="230"/>
      <c r="G35" s="230"/>
      <c r="H35" s="230"/>
      <c r="I35" s="231"/>
    </row>
    <row r="36" spans="1:9">
      <c r="A36" s="229"/>
      <c r="B36" s="243" t="s">
        <v>182</v>
      </c>
      <c r="C36" s="230"/>
      <c r="D36" s="230"/>
      <c r="E36" s="230"/>
      <c r="F36" s="230"/>
      <c r="G36" s="230"/>
      <c r="H36" s="230"/>
      <c r="I36" s="231"/>
    </row>
    <row r="37" spans="1:9">
      <c r="A37" s="229"/>
      <c r="B37" s="230" t="s">
        <v>183</v>
      </c>
      <c r="C37" s="230"/>
      <c r="D37" s="230"/>
      <c r="E37" s="230"/>
      <c r="F37" s="230"/>
      <c r="G37" s="230"/>
      <c r="H37" s="230"/>
      <c r="I37" s="231"/>
    </row>
    <row r="38" spans="1:9">
      <c r="A38" s="229"/>
      <c r="B38" s="230" t="s">
        <v>202</v>
      </c>
      <c r="C38" s="230"/>
      <c r="D38" s="230"/>
      <c r="E38" s="230"/>
      <c r="F38" s="230"/>
      <c r="G38" s="230"/>
      <c r="H38" s="230"/>
      <c r="I38" s="231"/>
    </row>
    <row r="39" spans="1:9">
      <c r="A39" s="229"/>
      <c r="B39" s="230" t="s">
        <v>184</v>
      </c>
      <c r="C39" s="230"/>
      <c r="D39" s="230"/>
      <c r="E39" s="230"/>
      <c r="F39" s="230"/>
      <c r="G39" s="230"/>
      <c r="H39" s="230"/>
      <c r="I39" s="231"/>
    </row>
    <row r="40" spans="1:9" ht="15" thickBot="1">
      <c r="A40" s="229"/>
      <c r="B40" s="230"/>
      <c r="C40" s="230"/>
      <c r="D40" s="230"/>
      <c r="E40" s="230"/>
      <c r="F40" s="230"/>
      <c r="G40" s="230"/>
      <c r="H40" s="230"/>
      <c r="I40" s="231"/>
    </row>
    <row r="41" spans="1:9" ht="15" thickBot="1">
      <c r="A41" s="229"/>
      <c r="B41" s="244" t="s">
        <v>185</v>
      </c>
      <c r="C41" s="266">
        <v>2</v>
      </c>
      <c r="D41" s="230"/>
      <c r="E41" s="230"/>
      <c r="F41" s="230"/>
      <c r="G41" s="230"/>
      <c r="H41" s="230"/>
      <c r="I41" s="231"/>
    </row>
    <row r="42" spans="1:9">
      <c r="A42" s="229"/>
      <c r="B42" s="233"/>
      <c r="C42" s="472" t="s">
        <v>214</v>
      </c>
      <c r="D42" s="472"/>
      <c r="E42" s="472"/>
      <c r="F42" s="472"/>
      <c r="G42" s="472"/>
      <c r="H42" s="472"/>
      <c r="I42" s="473"/>
    </row>
    <row r="43" spans="1:9" ht="15" thickBot="1">
      <c r="A43" s="229"/>
      <c r="B43" s="259" t="s">
        <v>194</v>
      </c>
      <c r="C43" s="234">
        <v>5000000</v>
      </c>
      <c r="D43" s="235">
        <v>10000000</v>
      </c>
      <c r="E43" s="235">
        <v>15000000</v>
      </c>
      <c r="F43" s="235">
        <v>20000000</v>
      </c>
      <c r="G43" s="235">
        <v>50000000</v>
      </c>
      <c r="H43" s="235">
        <v>100000000</v>
      </c>
      <c r="I43" s="236">
        <v>150000000</v>
      </c>
    </row>
    <row r="44" spans="1:9">
      <c r="A44" s="229"/>
      <c r="B44" s="245" t="s">
        <v>198</v>
      </c>
      <c r="C44" s="352">
        <f t="shared" ref="C44:I44" si="2">IF($C$41*$I$5&lt;C43,($C$41*$I$5),C43)</f>
        <v>5000000</v>
      </c>
      <c r="D44" s="352">
        <f t="shared" si="2"/>
        <v>10000000</v>
      </c>
      <c r="E44" s="352">
        <f t="shared" si="2"/>
        <v>10000000</v>
      </c>
      <c r="F44" s="352">
        <f t="shared" si="2"/>
        <v>10000000</v>
      </c>
      <c r="G44" s="352">
        <f t="shared" si="2"/>
        <v>10000000</v>
      </c>
      <c r="H44" s="352">
        <f t="shared" si="2"/>
        <v>10000000</v>
      </c>
      <c r="I44" s="353">
        <f t="shared" si="2"/>
        <v>10000000</v>
      </c>
    </row>
    <row r="45" spans="1:9">
      <c r="A45" s="229"/>
      <c r="B45" s="245" t="s">
        <v>201</v>
      </c>
      <c r="C45" s="352">
        <f t="shared" ref="C45:I45" si="3">$D$14*C43</f>
        <v>1250000</v>
      </c>
      <c r="D45" s="352">
        <f t="shared" si="3"/>
        <v>2500000</v>
      </c>
      <c r="E45" s="352">
        <f t="shared" si="3"/>
        <v>3750000</v>
      </c>
      <c r="F45" s="352">
        <f t="shared" si="3"/>
        <v>5000000</v>
      </c>
      <c r="G45" s="352">
        <f t="shared" si="3"/>
        <v>12500000</v>
      </c>
      <c r="H45" s="352">
        <f t="shared" si="3"/>
        <v>25000000</v>
      </c>
      <c r="I45" s="353">
        <f t="shared" si="3"/>
        <v>37500000</v>
      </c>
    </row>
    <row r="46" spans="1:9">
      <c r="A46" s="229"/>
      <c r="B46" s="245" t="s">
        <v>186</v>
      </c>
      <c r="C46" s="246" t="str">
        <f>IF(C44&gt;C45,"Liq Pref","Convert")</f>
        <v>Liq Pref</v>
      </c>
      <c r="D46" s="246" t="str">
        <f t="shared" ref="D46:I46" si="4">IF(D44&gt;D45,"Liq Pref","Convert")</f>
        <v>Liq Pref</v>
      </c>
      <c r="E46" s="246" t="str">
        <f t="shared" si="4"/>
        <v>Liq Pref</v>
      </c>
      <c r="F46" s="246" t="str">
        <f t="shared" si="4"/>
        <v>Liq Pref</v>
      </c>
      <c r="G46" s="246" t="str">
        <f t="shared" si="4"/>
        <v>Convert</v>
      </c>
      <c r="H46" s="246" t="str">
        <f t="shared" si="4"/>
        <v>Convert</v>
      </c>
      <c r="I46" s="247" t="str">
        <f t="shared" si="4"/>
        <v>Convert</v>
      </c>
    </row>
    <row r="47" spans="1:9">
      <c r="A47" s="229"/>
      <c r="B47" s="248" t="s">
        <v>187</v>
      </c>
      <c r="C47" s="354">
        <f>MAX(C44:C45)</f>
        <v>5000000</v>
      </c>
      <c r="D47" s="354">
        <f t="shared" ref="D47:I47" si="5">MAX(D44:D45)</f>
        <v>10000000</v>
      </c>
      <c r="E47" s="354">
        <f t="shared" si="5"/>
        <v>10000000</v>
      </c>
      <c r="F47" s="354">
        <f t="shared" si="5"/>
        <v>10000000</v>
      </c>
      <c r="G47" s="354">
        <f t="shared" si="5"/>
        <v>12500000</v>
      </c>
      <c r="H47" s="354">
        <f t="shared" si="5"/>
        <v>25000000</v>
      </c>
      <c r="I47" s="355">
        <f t="shared" si="5"/>
        <v>37500000</v>
      </c>
    </row>
    <row r="48" spans="1:9">
      <c r="A48" s="229"/>
      <c r="B48" s="73" t="s">
        <v>188</v>
      </c>
      <c r="C48" s="356">
        <f>C43-C47</f>
        <v>0</v>
      </c>
      <c r="D48" s="356">
        <f t="shared" ref="D48:I48" si="6">D43-D47</f>
        <v>0</v>
      </c>
      <c r="E48" s="356">
        <f t="shared" si="6"/>
        <v>5000000</v>
      </c>
      <c r="F48" s="356">
        <f t="shared" si="6"/>
        <v>10000000</v>
      </c>
      <c r="G48" s="356">
        <f t="shared" si="6"/>
        <v>37500000</v>
      </c>
      <c r="H48" s="356">
        <f t="shared" si="6"/>
        <v>75000000</v>
      </c>
      <c r="I48" s="357">
        <f t="shared" si="6"/>
        <v>112500000</v>
      </c>
    </row>
    <row r="49" spans="1:9" ht="15" thickBot="1">
      <c r="A49" s="239"/>
      <c r="B49" s="249" t="s">
        <v>180</v>
      </c>
      <c r="C49" s="250" t="str">
        <f t="shared" ref="C49:I49" si="7">IF(SUM(C47:C48)=C43,"-","error")</f>
        <v>-</v>
      </c>
      <c r="D49" s="250" t="str">
        <f t="shared" si="7"/>
        <v>-</v>
      </c>
      <c r="E49" s="250" t="str">
        <f t="shared" si="7"/>
        <v>-</v>
      </c>
      <c r="F49" s="250" t="str">
        <f t="shared" si="7"/>
        <v>-</v>
      </c>
      <c r="G49" s="250" t="str">
        <f t="shared" si="7"/>
        <v>-</v>
      </c>
      <c r="H49" s="250" t="str">
        <f t="shared" si="7"/>
        <v>-</v>
      </c>
      <c r="I49" s="251" t="str">
        <f t="shared" si="7"/>
        <v>-</v>
      </c>
    </row>
    <row r="51" spans="1:9" ht="15" thickBot="1"/>
    <row r="52" spans="1:9" ht="21">
      <c r="A52" s="477" t="s">
        <v>196</v>
      </c>
      <c r="B52" s="478"/>
      <c r="C52" s="478"/>
      <c r="D52" s="478"/>
      <c r="E52" s="478"/>
      <c r="F52" s="478"/>
      <c r="G52" s="478"/>
      <c r="H52" s="478"/>
      <c r="I52" s="479"/>
    </row>
    <row r="53" spans="1:9">
      <c r="A53" s="229"/>
      <c r="B53" s="230"/>
      <c r="C53" s="230"/>
      <c r="D53" s="230"/>
      <c r="E53" s="230"/>
      <c r="F53" s="230"/>
      <c r="G53" s="230"/>
      <c r="H53" s="230"/>
      <c r="I53" s="231"/>
    </row>
    <row r="54" spans="1:9">
      <c r="A54" s="229"/>
      <c r="B54" s="232" t="s">
        <v>189</v>
      </c>
      <c r="C54" s="243"/>
      <c r="D54" s="230"/>
      <c r="E54" s="230"/>
      <c r="F54" s="230"/>
      <c r="G54" s="230"/>
      <c r="H54" s="230"/>
      <c r="I54" s="231"/>
    </row>
    <row r="55" spans="1:9">
      <c r="A55" s="229"/>
      <c r="B55" s="243" t="s">
        <v>190</v>
      </c>
      <c r="C55" s="243"/>
      <c r="D55" s="230"/>
      <c r="E55" s="230"/>
      <c r="F55" s="230"/>
      <c r="G55" s="230"/>
      <c r="H55" s="230"/>
      <c r="I55" s="231"/>
    </row>
    <row r="56" spans="1:9">
      <c r="A56" s="229"/>
      <c r="B56" s="230" t="s">
        <v>183</v>
      </c>
      <c r="C56" s="230"/>
      <c r="D56" s="230"/>
      <c r="E56" s="230"/>
      <c r="F56" s="230"/>
      <c r="G56" s="230"/>
      <c r="H56" s="230"/>
      <c r="I56" s="231"/>
    </row>
    <row r="57" spans="1:9">
      <c r="A57" s="229"/>
      <c r="B57" s="230" t="s">
        <v>203</v>
      </c>
      <c r="C57" s="230"/>
      <c r="D57" s="230"/>
      <c r="E57" s="230"/>
      <c r="F57" s="230"/>
      <c r="G57" s="230"/>
      <c r="H57" s="230"/>
      <c r="I57" s="231"/>
    </row>
    <row r="58" spans="1:9">
      <c r="A58" s="229"/>
      <c r="B58" s="230" t="s">
        <v>204</v>
      </c>
      <c r="C58" s="230"/>
      <c r="D58" s="230"/>
      <c r="E58" s="230"/>
      <c r="F58" s="230"/>
      <c r="G58" s="230"/>
      <c r="H58" s="230"/>
      <c r="I58" s="231"/>
    </row>
    <row r="59" spans="1:9">
      <c r="A59" s="229"/>
      <c r="B59" s="268" t="s">
        <v>191</v>
      </c>
      <c r="C59" s="230"/>
      <c r="D59" s="230"/>
      <c r="E59" s="230"/>
      <c r="F59" s="230"/>
      <c r="G59" s="230"/>
      <c r="H59" s="230"/>
      <c r="I59" s="231"/>
    </row>
    <row r="60" spans="1:9" ht="15" thickBot="1">
      <c r="A60" s="229"/>
      <c r="B60" s="230"/>
      <c r="C60" s="230"/>
      <c r="D60" s="230"/>
      <c r="E60" s="230"/>
      <c r="F60" s="230"/>
      <c r="G60" s="230"/>
      <c r="H60" s="230"/>
      <c r="I60" s="231"/>
    </row>
    <row r="61" spans="1:9" ht="15" thickBot="1">
      <c r="A61" s="229"/>
      <c r="B61" s="252" t="s">
        <v>185</v>
      </c>
      <c r="C61" s="267">
        <v>3</v>
      </c>
      <c r="D61" s="230"/>
      <c r="E61" s="230"/>
      <c r="F61" s="230"/>
      <c r="G61" s="230"/>
      <c r="H61" s="230"/>
      <c r="I61" s="231"/>
    </row>
    <row r="62" spans="1:9">
      <c r="A62" s="229"/>
      <c r="B62" s="253"/>
      <c r="C62" s="471" t="s">
        <v>214</v>
      </c>
      <c r="D62" s="472"/>
      <c r="E62" s="472"/>
      <c r="F62" s="472"/>
      <c r="G62" s="472"/>
      <c r="H62" s="472"/>
      <c r="I62" s="473"/>
    </row>
    <row r="63" spans="1:9" ht="15" thickBot="1">
      <c r="A63" s="229"/>
      <c r="B63" s="260" t="s">
        <v>194</v>
      </c>
      <c r="C63" s="235">
        <v>5000000</v>
      </c>
      <c r="D63" s="235">
        <v>10000000</v>
      </c>
      <c r="E63" s="235">
        <v>15000000</v>
      </c>
      <c r="F63" s="235">
        <v>20000000</v>
      </c>
      <c r="G63" s="235">
        <v>50000000</v>
      </c>
      <c r="H63" s="235">
        <v>100000000</v>
      </c>
      <c r="I63" s="236">
        <v>150000000</v>
      </c>
    </row>
    <row r="64" spans="1:9">
      <c r="A64" s="229"/>
      <c r="B64" s="245" t="s">
        <v>198</v>
      </c>
      <c r="C64" s="358">
        <f t="shared" ref="C64:I64" si="8">IF(($C$61*$I$5)&lt;C63,$C$61*$I$5,C63)</f>
        <v>5000000</v>
      </c>
      <c r="D64" s="352">
        <f t="shared" si="8"/>
        <v>10000000</v>
      </c>
      <c r="E64" s="352">
        <f t="shared" si="8"/>
        <v>15000000</v>
      </c>
      <c r="F64" s="352">
        <f t="shared" si="8"/>
        <v>15000000</v>
      </c>
      <c r="G64" s="352">
        <f t="shared" si="8"/>
        <v>15000000</v>
      </c>
      <c r="H64" s="352">
        <f t="shared" si="8"/>
        <v>15000000</v>
      </c>
      <c r="I64" s="353">
        <f t="shared" si="8"/>
        <v>15000000</v>
      </c>
    </row>
    <row r="65" spans="1:9">
      <c r="A65" s="229"/>
      <c r="B65" s="245" t="s">
        <v>192</v>
      </c>
      <c r="C65" s="358">
        <f t="shared" ref="C65:I65" si="9">(C63-C64)*$D$14</f>
        <v>0</v>
      </c>
      <c r="D65" s="352">
        <f t="shared" si="9"/>
        <v>0</v>
      </c>
      <c r="E65" s="352">
        <f t="shared" si="9"/>
        <v>0</v>
      </c>
      <c r="F65" s="352">
        <f t="shared" si="9"/>
        <v>1250000</v>
      </c>
      <c r="G65" s="352">
        <f t="shared" si="9"/>
        <v>8750000</v>
      </c>
      <c r="H65" s="352">
        <f t="shared" si="9"/>
        <v>21250000</v>
      </c>
      <c r="I65" s="353">
        <f t="shared" si="9"/>
        <v>33750000</v>
      </c>
    </row>
    <row r="66" spans="1:9">
      <c r="A66" s="229"/>
      <c r="B66" s="254" t="s">
        <v>193</v>
      </c>
      <c r="C66" s="359">
        <f>SUM(C64:C65)</f>
        <v>5000000</v>
      </c>
      <c r="D66" s="354">
        <f t="shared" ref="D66:I66" si="10">SUM(D64:D65)</f>
        <v>10000000</v>
      </c>
      <c r="E66" s="354">
        <f t="shared" si="10"/>
        <v>15000000</v>
      </c>
      <c r="F66" s="354">
        <f t="shared" si="10"/>
        <v>16250000</v>
      </c>
      <c r="G66" s="354">
        <f t="shared" si="10"/>
        <v>23750000</v>
      </c>
      <c r="H66" s="354">
        <f t="shared" si="10"/>
        <v>36250000</v>
      </c>
      <c r="I66" s="355">
        <f t="shared" si="10"/>
        <v>48750000</v>
      </c>
    </row>
    <row r="67" spans="1:9">
      <c r="A67" s="229"/>
      <c r="B67" s="255" t="s">
        <v>188</v>
      </c>
      <c r="C67" s="360">
        <f t="shared" ref="C67:I67" si="11">C63-C66</f>
        <v>0</v>
      </c>
      <c r="D67" s="356">
        <f t="shared" si="11"/>
        <v>0</v>
      </c>
      <c r="E67" s="356">
        <f t="shared" si="11"/>
        <v>0</v>
      </c>
      <c r="F67" s="356">
        <f t="shared" si="11"/>
        <v>3750000</v>
      </c>
      <c r="G67" s="356">
        <f t="shared" si="11"/>
        <v>26250000</v>
      </c>
      <c r="H67" s="356">
        <f t="shared" si="11"/>
        <v>63750000</v>
      </c>
      <c r="I67" s="357">
        <f t="shared" si="11"/>
        <v>101250000</v>
      </c>
    </row>
    <row r="68" spans="1:9" ht="15" thickBot="1">
      <c r="A68" s="239"/>
      <c r="B68" s="256" t="s">
        <v>180</v>
      </c>
      <c r="C68" s="250" t="str">
        <f t="shared" ref="C68:I68" si="12">IF(SUM(C66:C67)=C63,"-","error")</f>
        <v>-</v>
      </c>
      <c r="D68" s="250" t="str">
        <f t="shared" si="12"/>
        <v>-</v>
      </c>
      <c r="E68" s="250" t="str">
        <f t="shared" si="12"/>
        <v>-</v>
      </c>
      <c r="F68" s="250" t="str">
        <f t="shared" si="12"/>
        <v>-</v>
      </c>
      <c r="G68" s="250" t="str">
        <f t="shared" si="12"/>
        <v>-</v>
      </c>
      <c r="H68" s="250" t="str">
        <f t="shared" si="12"/>
        <v>-</v>
      </c>
      <c r="I68" s="251" t="str">
        <f t="shared" si="12"/>
        <v>-</v>
      </c>
    </row>
  </sheetData>
  <mergeCells count="7">
    <mergeCell ref="C62:I62"/>
    <mergeCell ref="B4:I4"/>
    <mergeCell ref="A21:I21"/>
    <mergeCell ref="C26:I26"/>
    <mergeCell ref="A33:I33"/>
    <mergeCell ref="C42:I42"/>
    <mergeCell ref="A52:I52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Berkus</vt:lpstr>
      <vt:lpstr>Scorecard</vt:lpstr>
      <vt:lpstr>Equity Comparables Method</vt:lpstr>
      <vt:lpstr>Venture Capital Method 1 round</vt:lpstr>
      <vt:lpstr>Venture Capital Method 2 rounds</vt:lpstr>
      <vt:lpstr>Cap table (lower R1 value)</vt:lpstr>
      <vt:lpstr>Cap table (higher R1 value)</vt:lpstr>
      <vt:lpstr>Quick VCM Sensitivity</vt:lpstr>
      <vt:lpstr>ConvPartPrefGENERAL</vt:lpstr>
      <vt:lpstr>ConvPartPrefGENERAL (2)</vt:lpstr>
      <vt:lpstr>AntiDilutionABCRounds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Gill</dc:creator>
  <cp:keywords/>
  <dc:description/>
  <cp:lastModifiedBy>Jack Williams-Sharkey</cp:lastModifiedBy>
  <cp:lastPrinted>2022-10-24T10:16:40Z</cp:lastPrinted>
  <dcterms:created xsi:type="dcterms:W3CDTF">2019-07-10T04:59:06Z</dcterms:created>
  <dcterms:modified xsi:type="dcterms:W3CDTF">2026-02-02T09:27:40Z</dcterms:modified>
  <cp:category/>
</cp:coreProperties>
</file>